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drawings/drawing10.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mc:AlternateContent xmlns:mc="http://schemas.openxmlformats.org/markup-compatibility/2006">
    <mc:Choice Requires="x15">
      <x15ac:absPath xmlns:x15ac="http://schemas.microsoft.com/office/spreadsheetml/2010/11/ac" url="D:\EGOMEZ\Zoho Docs\documentos erika\trabajos universidad\cavca\DOCUMENTOS DE GRADO\ultimos archivos con cambio 6 nov\"/>
    </mc:Choice>
  </mc:AlternateContent>
  <xr:revisionPtr revIDLastSave="0" documentId="13_ncr:1_{4CEF9746-37EC-4FD9-AE42-4E103E9388F1}" xr6:coauthVersionLast="47" xr6:coauthVersionMax="47" xr10:uidLastSave="{00000000-0000-0000-0000-000000000000}"/>
  <bookViews>
    <workbookView showSheetTabs="0" xWindow="-120" yWindow="-120" windowWidth="20730" windowHeight="11160" activeTab="7" xr2:uid="{00000000-000D-0000-FFFF-FFFF00000000}"/>
  </bookViews>
  <sheets>
    <sheet name="Menú" sheetId="22" r:id="rId1"/>
    <sheet name="DOFA" sheetId="1" r:id="rId2"/>
    <sheet name="BSC" sheetId="9" r:id="rId3"/>
    <sheet name="Variables" sheetId="5" r:id="rId4"/>
    <sheet name="Estados financieros" sheetId="11" r:id="rId5"/>
    <sheet name="Análisis Vertical" sheetId="3" r:id="rId6"/>
    <sheet name="Análisis Horizontal" sheetId="8" r:id="rId7"/>
    <sheet name="Razones financieras" sheetId="13" r:id="rId8"/>
    <sheet name="Gráficas" sheetId="16" r:id="rId9"/>
    <sheet name="Peer Group " sheetId="17" r:id="rId10"/>
    <sheet name="Anpro" sheetId="18" state="hidden" r:id="rId11"/>
    <sheet name="Gen Kieffer &amp; Asociados" sheetId="19" state="hidden" r:id="rId12"/>
    <sheet name="Universal Insure Holdings" sheetId="20" state="hidden" r:id="rId13"/>
    <sheet name="CAPM" sheetId="21" state="hidden" r:id="rId14"/>
  </sheets>
  <externalReferences>
    <externalReference r:id="rId15"/>
  </externalReferences>
  <definedNames>
    <definedName name="image">[1]INICIO!$K$14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5" i="16" l="1"/>
  <c r="C75" i="16"/>
  <c r="D75" i="16"/>
  <c r="B76" i="16"/>
  <c r="C76" i="16"/>
  <c r="D76" i="16"/>
  <c r="B77" i="16"/>
  <c r="C77" i="16"/>
  <c r="C82" i="16" s="1"/>
  <c r="D77" i="16"/>
  <c r="B80" i="16"/>
  <c r="C80" i="16"/>
  <c r="D80" i="16"/>
  <c r="B81" i="16"/>
  <c r="C81" i="16"/>
  <c r="D81" i="16"/>
  <c r="B82" i="16"/>
  <c r="D82" i="16"/>
  <c r="Q60" i="3"/>
  <c r="Q57" i="3"/>
  <c r="R51" i="3"/>
  <c r="R50" i="3"/>
  <c r="R49" i="3"/>
  <c r="Q51" i="3"/>
  <c r="Q49" i="3"/>
  <c r="AC7" i="8" l="1"/>
  <c r="F15" i="20"/>
  <c r="G56" i="20"/>
  <c r="G55" i="20"/>
  <c r="F80" i="20"/>
  <c r="F36" i="20"/>
  <c r="F12" i="17"/>
  <c r="G13" i="17"/>
  <c r="G6" i="17"/>
  <c r="G5" i="17"/>
  <c r="F11" i="17"/>
  <c r="F10" i="17"/>
  <c r="F9" i="17"/>
  <c r="F8" i="17"/>
  <c r="F7" i="17"/>
  <c r="E7" i="17"/>
  <c r="D7" i="17"/>
  <c r="F4" i="17"/>
  <c r="K37" i="11"/>
  <c r="G55" i="21"/>
  <c r="F55" i="21"/>
  <c r="G48" i="21" s="1"/>
  <c r="E55" i="21"/>
  <c r="D55" i="21"/>
  <c r="E48" i="21" s="1"/>
  <c r="F48" i="21"/>
  <c r="G40" i="21"/>
  <c r="F40" i="21"/>
  <c r="E40" i="21"/>
  <c r="D40" i="21"/>
  <c r="C40" i="21"/>
  <c r="B40" i="21"/>
  <c r="Q35" i="21"/>
  <c r="G30" i="21"/>
  <c r="F30" i="21"/>
  <c r="E30" i="21"/>
  <c r="D30" i="21"/>
  <c r="G28" i="21"/>
  <c r="F28" i="21"/>
  <c r="F32" i="21" s="1"/>
  <c r="F42" i="21" s="1"/>
  <c r="E28" i="21"/>
  <c r="E32" i="21" s="1"/>
  <c r="E42" i="21" s="1"/>
  <c r="D28" i="21"/>
  <c r="D32" i="21" s="1"/>
  <c r="D42" i="21" s="1"/>
  <c r="C28" i="21"/>
  <c r="B28" i="21"/>
  <c r="L27" i="21"/>
  <c r="K27" i="21"/>
  <c r="N19" i="21"/>
  <c r="N25" i="21" s="1"/>
  <c r="G16" i="21"/>
  <c r="F16" i="21"/>
  <c r="E16" i="21"/>
  <c r="D16" i="21"/>
  <c r="C16" i="21"/>
  <c r="B16" i="21"/>
  <c r="G12" i="21"/>
  <c r="G18" i="21" s="1"/>
  <c r="F12" i="21"/>
  <c r="F18" i="21" s="1"/>
  <c r="E12" i="21"/>
  <c r="E18" i="21" s="1"/>
  <c r="D12" i="21"/>
  <c r="D18" i="21" s="1"/>
  <c r="C12" i="21"/>
  <c r="C18" i="21" s="1"/>
  <c r="B12" i="21"/>
  <c r="P9" i="21"/>
  <c r="P14" i="21" s="1"/>
  <c r="P26" i="21" s="1"/>
  <c r="O9" i="21"/>
  <c r="O14" i="21" s="1"/>
  <c r="O26" i="21" s="1"/>
  <c r="N9" i="21"/>
  <c r="M9" i="21"/>
  <c r="M14" i="21" s="1"/>
  <c r="M19" i="21" s="1"/>
  <c r="L9" i="21"/>
  <c r="L14" i="21" s="1"/>
  <c r="K9" i="21"/>
  <c r="K14" i="21" s="1"/>
  <c r="G32" i="21" l="1"/>
  <c r="G42" i="21" s="1"/>
  <c r="B18" i="21"/>
  <c r="G7" i="17"/>
  <c r="K26" i="21"/>
  <c r="K19" i="21"/>
  <c r="L26" i="21"/>
  <c r="L19" i="21"/>
  <c r="M25" i="21"/>
  <c r="M20" i="21"/>
  <c r="M23" i="21" s="1"/>
  <c r="P17" i="21"/>
  <c r="P19" i="21" s="1"/>
  <c r="N20" i="21"/>
  <c r="N23" i="21" s="1"/>
  <c r="O17" i="21"/>
  <c r="O19" i="21" s="1"/>
  <c r="L20" i="21" l="1"/>
  <c r="L23" i="21" s="1"/>
  <c r="L25" i="21"/>
  <c r="P20" i="21"/>
  <c r="P21" i="21"/>
  <c r="P23" i="21" s="1"/>
  <c r="P25" i="21"/>
  <c r="O20" i="21"/>
  <c r="O21" i="21"/>
  <c r="O23" i="21" s="1"/>
  <c r="O25" i="21"/>
  <c r="K20" i="21"/>
  <c r="K23" i="21" s="1"/>
  <c r="K25" i="21"/>
  <c r="C13" i="17" l="1"/>
  <c r="C10" i="17"/>
  <c r="C9" i="17"/>
  <c r="C8" i="17"/>
  <c r="C6" i="17"/>
  <c r="C5" i="17"/>
  <c r="C48" i="19"/>
  <c r="C52" i="19" s="1"/>
  <c r="C60" i="19" s="1"/>
  <c r="C64" i="19" s="1"/>
  <c r="B48" i="19"/>
  <c r="C44" i="19"/>
  <c r="B44" i="19"/>
  <c r="C27" i="19"/>
  <c r="B27" i="19"/>
  <c r="C19" i="19"/>
  <c r="C29" i="19" s="1"/>
  <c r="B19" i="19"/>
  <c r="C12" i="19"/>
  <c r="B12" i="19"/>
  <c r="E4" i="17" s="1"/>
  <c r="E107" i="18"/>
  <c r="C107" i="18"/>
  <c r="G106" i="18"/>
  <c r="G105" i="18"/>
  <c r="G104" i="18"/>
  <c r="G102" i="18"/>
  <c r="G101" i="18"/>
  <c r="C100" i="18"/>
  <c r="G99" i="18"/>
  <c r="G98" i="18"/>
  <c r="E97" i="18"/>
  <c r="C97" i="18"/>
  <c r="G96" i="18"/>
  <c r="G95" i="18"/>
  <c r="G94" i="18"/>
  <c r="D85" i="18"/>
  <c r="D77" i="18"/>
  <c r="C77" i="18"/>
  <c r="C85" i="18" s="1"/>
  <c r="E69" i="18"/>
  <c r="D67" i="18"/>
  <c r="D69" i="18" s="1"/>
  <c r="C67" i="18"/>
  <c r="C69" i="18" s="1"/>
  <c r="E59" i="18"/>
  <c r="D59" i="18"/>
  <c r="C59" i="18"/>
  <c r="E58" i="18"/>
  <c r="E57" i="18"/>
  <c r="E56" i="18"/>
  <c r="D54" i="18"/>
  <c r="C54" i="18"/>
  <c r="E53" i="18"/>
  <c r="E52" i="18"/>
  <c r="E51" i="18"/>
  <c r="E50" i="18"/>
  <c r="E49" i="18"/>
  <c r="E48" i="18"/>
  <c r="D46" i="18"/>
  <c r="C46" i="18"/>
  <c r="E45" i="18"/>
  <c r="E46" i="18" s="1"/>
  <c r="E44" i="18"/>
  <c r="E43" i="18"/>
  <c r="E42" i="18"/>
  <c r="D41" i="18"/>
  <c r="C41" i="18"/>
  <c r="E40" i="18"/>
  <c r="E39" i="18"/>
  <c r="E38" i="18"/>
  <c r="E37" i="18"/>
  <c r="E35" i="18"/>
  <c r="E34" i="18"/>
  <c r="F31" i="18"/>
  <c r="D29" i="18"/>
  <c r="D31" i="18" s="1"/>
  <c r="C29" i="18"/>
  <c r="C31" i="18" s="1"/>
  <c r="E28" i="18"/>
  <c r="E27" i="18"/>
  <c r="E26" i="18"/>
  <c r="E25" i="18"/>
  <c r="E24" i="18"/>
  <c r="D19" i="18"/>
  <c r="E19" i="18" s="1"/>
  <c r="C19" i="18"/>
  <c r="E18" i="18"/>
  <c r="E17" i="18"/>
  <c r="E16" i="18"/>
  <c r="E15" i="18"/>
  <c r="E14" i="18"/>
  <c r="D13" i="18"/>
  <c r="E13" i="18" s="1"/>
  <c r="C13" i="18"/>
  <c r="E12" i="18"/>
  <c r="E11" i="18"/>
  <c r="E10" i="18"/>
  <c r="E9" i="18"/>
  <c r="E8" i="18"/>
  <c r="F7" i="18"/>
  <c r="D7" i="18"/>
  <c r="D21" i="18" s="1"/>
  <c r="D32" i="18" s="1"/>
  <c r="C7" i="18"/>
  <c r="C21" i="18" s="1"/>
  <c r="E6" i="18"/>
  <c r="E7" i="18" s="1"/>
  <c r="E5" i="18"/>
  <c r="C103" i="18" l="1"/>
  <c r="D9" i="17"/>
  <c r="B52" i="19"/>
  <c r="B60" i="19" s="1"/>
  <c r="B64" i="19" s="1"/>
  <c r="E9" i="17"/>
  <c r="E21" i="18"/>
  <c r="B29" i="19"/>
  <c r="E8" i="17"/>
  <c r="D61" i="18"/>
  <c r="D71" i="18" s="1"/>
  <c r="D87" i="18" s="1"/>
  <c r="E54" i="18"/>
  <c r="C32" i="18"/>
  <c r="G97" i="18"/>
  <c r="E29" i="18"/>
  <c r="E31" i="18" s="1"/>
  <c r="D10" i="17"/>
  <c r="D12" i="17"/>
  <c r="D11" i="17"/>
  <c r="C61" i="18"/>
  <c r="D4" i="17" s="1"/>
  <c r="G4" i="17" s="1"/>
  <c r="E41" i="18"/>
  <c r="E61" i="18" s="1"/>
  <c r="E71" i="18"/>
  <c r="G107" i="18"/>
  <c r="D44" i="19"/>
  <c r="C7" i="17"/>
  <c r="C71" i="18"/>
  <c r="E100" i="18"/>
  <c r="E103" i="18" s="1"/>
  <c r="G103" i="18" s="1"/>
  <c r="C87" i="18" l="1"/>
  <c r="D8" i="17"/>
  <c r="G8" i="17" s="1"/>
  <c r="E12" i="17"/>
  <c r="E10" i="17"/>
  <c r="G10" i="17" s="1"/>
  <c r="E11" i="17"/>
  <c r="G11" i="17" s="1"/>
  <c r="G9" i="17"/>
  <c r="G12" i="17"/>
  <c r="G100" i="18"/>
  <c r="P35" i="11" l="1"/>
  <c r="P33" i="11"/>
  <c r="P36" i="11" l="1"/>
  <c r="K29" i="13"/>
  <c r="N25" i="11"/>
  <c r="D23" i="13" l="1"/>
  <c r="K27" i="11"/>
  <c r="N12" i="13" l="1"/>
  <c r="L12" i="13"/>
  <c r="N11" i="13"/>
  <c r="L11" i="13"/>
  <c r="J12" i="13"/>
  <c r="J11" i="13"/>
  <c r="H12" i="13"/>
  <c r="H11" i="13"/>
  <c r="F12" i="13"/>
  <c r="F11" i="13"/>
  <c r="D12" i="13"/>
  <c r="D11" i="13"/>
  <c r="N14" i="13"/>
  <c r="L14" i="13"/>
  <c r="N13" i="13"/>
  <c r="L13" i="13"/>
  <c r="J13" i="13"/>
  <c r="O13" i="13" l="1"/>
  <c r="K11" i="13"/>
  <c r="K13" i="13"/>
  <c r="G11" i="13"/>
  <c r="M11" i="13"/>
  <c r="O11" i="13"/>
  <c r="M13" i="13"/>
  <c r="I11" i="13"/>
  <c r="H13" i="13"/>
  <c r="I13" i="13" s="1"/>
  <c r="F13" i="13"/>
  <c r="F14" i="13"/>
  <c r="D14" i="13"/>
  <c r="D13" i="13"/>
  <c r="O15" i="13" l="1"/>
  <c r="K15" i="13"/>
  <c r="I15" i="13"/>
  <c r="E13" i="13"/>
  <c r="M15" i="13"/>
  <c r="G13" i="13"/>
  <c r="G15" i="13" s="1"/>
  <c r="P28" i="11"/>
  <c r="O28" i="11"/>
  <c r="N28" i="11"/>
  <c r="M28" i="11"/>
  <c r="L28" i="11"/>
  <c r="K28" i="11"/>
  <c r="L27" i="11"/>
  <c r="K47" i="13"/>
  <c r="N44" i="13"/>
  <c r="L44" i="13"/>
  <c r="J44" i="13"/>
  <c r="H44" i="13"/>
  <c r="F44" i="13"/>
  <c r="D44" i="13"/>
  <c r="G55" i="11" l="1"/>
  <c r="F55" i="11"/>
  <c r="G48" i="11" s="1"/>
  <c r="E55" i="11"/>
  <c r="F48" i="11" s="1"/>
  <c r="D55" i="11"/>
  <c r="E48" i="11" s="1"/>
  <c r="N34" i="13" l="1"/>
  <c r="L34" i="13"/>
  <c r="J34" i="13"/>
  <c r="H34" i="13"/>
  <c r="F34" i="13"/>
  <c r="D34" i="13"/>
  <c r="N32" i="13"/>
  <c r="L32" i="13"/>
  <c r="J32" i="13"/>
  <c r="H32" i="13"/>
  <c r="F32" i="13"/>
  <c r="D32" i="13"/>
  <c r="F27" i="13"/>
  <c r="D27" i="13"/>
  <c r="F23" i="13"/>
  <c r="F19" i="13"/>
  <c r="D19" i="13"/>
  <c r="N7" i="13"/>
  <c r="N9" i="13" s="1"/>
  <c r="L7" i="13"/>
  <c r="L9" i="13" s="1"/>
  <c r="J7" i="13"/>
  <c r="H7" i="13"/>
  <c r="F7" i="13"/>
  <c r="D7" i="13"/>
  <c r="D9" i="13" s="1"/>
  <c r="D17" i="13" s="1"/>
  <c r="L17" i="13" l="1"/>
  <c r="N17" i="13"/>
  <c r="H9" i="13"/>
  <c r="F9" i="13"/>
  <c r="J9" i="13"/>
  <c r="N5" i="13"/>
  <c r="L5" i="13"/>
  <c r="J5" i="13"/>
  <c r="H5" i="13"/>
  <c r="F5" i="13"/>
  <c r="D5" i="13"/>
  <c r="H17" i="13" l="1"/>
  <c r="F17" i="13"/>
  <c r="J17" i="13"/>
  <c r="AA49" i="3" l="1"/>
  <c r="Y49" i="3"/>
  <c r="W49" i="3"/>
  <c r="U49" i="3"/>
  <c r="S49" i="3"/>
  <c r="Q5" i="3"/>
  <c r="S5" i="3"/>
  <c r="Q18" i="3"/>
  <c r="S18" i="3"/>
  <c r="Q20" i="3"/>
  <c r="S20" i="3"/>
  <c r="Q48" i="3"/>
  <c r="S48" i="3"/>
  <c r="T48" i="3" s="1"/>
  <c r="U48" i="3"/>
  <c r="W48" i="3"/>
  <c r="Y48" i="3"/>
  <c r="Z48" i="3" s="1"/>
  <c r="AA48" i="3"/>
  <c r="S51" i="3"/>
  <c r="U51" i="3"/>
  <c r="W51" i="3"/>
  <c r="Y51" i="3"/>
  <c r="AA51" i="3"/>
  <c r="AB51" i="3" s="1"/>
  <c r="W52" i="3"/>
  <c r="Y21" i="8"/>
  <c r="X21" i="8"/>
  <c r="AA18" i="8"/>
  <c r="Z18" i="8"/>
  <c r="Y18" i="8"/>
  <c r="X18" i="8"/>
  <c r="AA16" i="8"/>
  <c r="AA15" i="8"/>
  <c r="Z13" i="8"/>
  <c r="Y13" i="8"/>
  <c r="X12" i="8"/>
  <c r="AA11" i="8"/>
  <c r="Z11" i="8"/>
  <c r="Y11" i="8"/>
  <c r="X11" i="8"/>
  <c r="AA10" i="8"/>
  <c r="Z10" i="8"/>
  <c r="Y10" i="8"/>
  <c r="X10" i="8"/>
  <c r="AA8" i="8"/>
  <c r="X8" i="8"/>
  <c r="AA7" i="8"/>
  <c r="Z7" i="8"/>
  <c r="Y7" i="8"/>
  <c r="X7" i="8"/>
  <c r="W21" i="8"/>
  <c r="W18" i="8"/>
  <c r="W12" i="8"/>
  <c r="W11" i="8"/>
  <c r="W10" i="8"/>
  <c r="W8" i="8"/>
  <c r="W7" i="8"/>
  <c r="W3" i="8"/>
  <c r="W2" i="8"/>
  <c r="W1" i="8"/>
  <c r="I42" i="8"/>
  <c r="M38" i="8"/>
  <c r="M37" i="8"/>
  <c r="L37" i="8"/>
  <c r="K37" i="8"/>
  <c r="J37" i="8"/>
  <c r="I37" i="8"/>
  <c r="M35" i="8"/>
  <c r="L35" i="8"/>
  <c r="K35" i="8"/>
  <c r="J35" i="8"/>
  <c r="I35" i="8"/>
  <c r="I32" i="8"/>
  <c r="I30" i="8"/>
  <c r="M29" i="8"/>
  <c r="L29" i="8"/>
  <c r="K29" i="8"/>
  <c r="J29" i="8"/>
  <c r="I29" i="8"/>
  <c r="M27" i="8"/>
  <c r="L27" i="8"/>
  <c r="K27" i="8"/>
  <c r="J27" i="8"/>
  <c r="I27" i="8"/>
  <c r="J26" i="8"/>
  <c r="I26" i="8"/>
  <c r="M25" i="8"/>
  <c r="L25" i="8"/>
  <c r="K25" i="8"/>
  <c r="J25" i="8"/>
  <c r="I25" i="8"/>
  <c r="M24" i="8"/>
  <c r="L24" i="8"/>
  <c r="K24" i="8"/>
  <c r="J24" i="8"/>
  <c r="I24" i="8"/>
  <c r="M23" i="8"/>
  <c r="L23" i="8"/>
  <c r="K23" i="8"/>
  <c r="J23" i="8"/>
  <c r="I23" i="8"/>
  <c r="I15" i="8"/>
  <c r="M14" i="8"/>
  <c r="L14" i="8"/>
  <c r="K14" i="8"/>
  <c r="J14" i="8"/>
  <c r="I14" i="8"/>
  <c r="M11" i="8"/>
  <c r="L11" i="8"/>
  <c r="K11" i="8"/>
  <c r="J11" i="8"/>
  <c r="I11" i="8"/>
  <c r="M10" i="8"/>
  <c r="L10" i="8"/>
  <c r="K10" i="8"/>
  <c r="J10" i="8"/>
  <c r="I10" i="8"/>
  <c r="M9" i="8"/>
  <c r="L9" i="8"/>
  <c r="K9" i="8"/>
  <c r="J9" i="8"/>
  <c r="I9" i="8"/>
  <c r="M8" i="8"/>
  <c r="L8" i="8"/>
  <c r="K8" i="8"/>
  <c r="J8" i="8"/>
  <c r="I8" i="8"/>
  <c r="G40" i="8"/>
  <c r="F40" i="8"/>
  <c r="E40" i="8"/>
  <c r="D40" i="8"/>
  <c r="C40" i="8"/>
  <c r="B40" i="8"/>
  <c r="G30" i="8"/>
  <c r="F30" i="8"/>
  <c r="E30" i="8"/>
  <c r="D30" i="8"/>
  <c r="J30" i="8" s="1"/>
  <c r="G28" i="8"/>
  <c r="F28" i="8"/>
  <c r="E28" i="8"/>
  <c r="D28" i="8"/>
  <c r="C28" i="8"/>
  <c r="B28" i="8"/>
  <c r="S19" i="8"/>
  <c r="S20" i="8" s="1"/>
  <c r="S23" i="8" s="1"/>
  <c r="G16" i="8"/>
  <c r="F16" i="8"/>
  <c r="E16" i="8"/>
  <c r="D16" i="8"/>
  <c r="C16" i="8"/>
  <c r="B16" i="8"/>
  <c r="G12" i="8"/>
  <c r="F12" i="8"/>
  <c r="E12" i="8"/>
  <c r="D12" i="8"/>
  <c r="C12" i="8"/>
  <c r="B12" i="8"/>
  <c r="U9" i="8"/>
  <c r="U14" i="8" s="1"/>
  <c r="U17" i="8" s="1"/>
  <c r="U19" i="8" s="1"/>
  <c r="T9" i="8"/>
  <c r="T14" i="8" s="1"/>
  <c r="T17" i="8" s="1"/>
  <c r="T19" i="8" s="1"/>
  <c r="S9" i="8"/>
  <c r="R9" i="8"/>
  <c r="R14" i="8" s="1"/>
  <c r="R19" i="8" s="1"/>
  <c r="R20" i="8" s="1"/>
  <c r="R23" i="8" s="1"/>
  <c r="Q9" i="8"/>
  <c r="Q14" i="8" s="1"/>
  <c r="Q19" i="8" s="1"/>
  <c r="Q20" i="8" s="1"/>
  <c r="Q23" i="8" s="1"/>
  <c r="P9" i="8"/>
  <c r="P14" i="8" s="1"/>
  <c r="P19" i="8" s="1"/>
  <c r="P20" i="8" s="1"/>
  <c r="P23" i="8" s="1"/>
  <c r="W23" i="8" l="1"/>
  <c r="V51" i="3"/>
  <c r="R48" i="3"/>
  <c r="T20" i="3"/>
  <c r="AB49" i="3"/>
  <c r="R20" i="3"/>
  <c r="AA19" i="8"/>
  <c r="T49" i="3"/>
  <c r="X23" i="8"/>
  <c r="X52" i="3"/>
  <c r="T51" i="3"/>
  <c r="Z51" i="3"/>
  <c r="X51" i="3"/>
  <c r="AB48" i="3"/>
  <c r="X48" i="3"/>
  <c r="W9" i="8"/>
  <c r="X9" i="8"/>
  <c r="Z49" i="3"/>
  <c r="Y23" i="8"/>
  <c r="Y9" i="8"/>
  <c r="M12" i="8"/>
  <c r="L30" i="8"/>
  <c r="X20" i="8"/>
  <c r="E11" i="13"/>
  <c r="E15" i="13" s="1"/>
  <c r="Z9" i="8"/>
  <c r="X14" i="8"/>
  <c r="Y20" i="8"/>
  <c r="AA9" i="8"/>
  <c r="Y14" i="8"/>
  <c r="W14" i="8"/>
  <c r="Z14" i="8"/>
  <c r="AA14" i="8"/>
  <c r="X19" i="8"/>
  <c r="W19" i="8"/>
  <c r="Y19" i="8"/>
  <c r="W20" i="8"/>
  <c r="Z19" i="8"/>
  <c r="AA17" i="8"/>
  <c r="X49" i="3"/>
  <c r="V49" i="3"/>
  <c r="V48" i="3"/>
  <c r="M28" i="8"/>
  <c r="K40" i="8"/>
  <c r="J16" i="8"/>
  <c r="I40" i="8"/>
  <c r="I16" i="8"/>
  <c r="M16" i="8"/>
  <c r="J28" i="8"/>
  <c r="K28" i="8"/>
  <c r="I12" i="8"/>
  <c r="E18" i="8"/>
  <c r="L40" i="8"/>
  <c r="L12" i="8"/>
  <c r="M40" i="8"/>
  <c r="L28" i="8"/>
  <c r="J12" i="8"/>
  <c r="K16" i="8"/>
  <c r="K30" i="8"/>
  <c r="I28" i="8"/>
  <c r="M30" i="8"/>
  <c r="J40" i="8"/>
  <c r="L16" i="8"/>
  <c r="K12" i="8"/>
  <c r="C18" i="8"/>
  <c r="G18" i="8"/>
  <c r="D32" i="8"/>
  <c r="G32" i="8"/>
  <c r="B18" i="8"/>
  <c r="D18" i="8"/>
  <c r="E32" i="8"/>
  <c r="F32" i="8"/>
  <c r="F18" i="8"/>
  <c r="U20" i="8"/>
  <c r="U21" i="8"/>
  <c r="T20" i="8"/>
  <c r="Z20" i="8" s="1"/>
  <c r="T21" i="8"/>
  <c r="U23" i="8" l="1"/>
  <c r="AA21" i="8"/>
  <c r="K18" i="8"/>
  <c r="AA20" i="8"/>
  <c r="T23" i="8"/>
  <c r="Z23" i="8" s="1"/>
  <c r="Z21" i="8"/>
  <c r="M18" i="8"/>
  <c r="L18" i="8"/>
  <c r="I18" i="8"/>
  <c r="F42" i="8"/>
  <c r="L32" i="8"/>
  <c r="E42" i="8"/>
  <c r="K32" i="8"/>
  <c r="G42" i="8"/>
  <c r="M32" i="8"/>
  <c r="J18" i="8"/>
  <c r="D42" i="8"/>
  <c r="J42" i="8" s="1"/>
  <c r="J32" i="8"/>
  <c r="AA23" i="8" l="1"/>
  <c r="L42" i="8"/>
  <c r="M42" i="8"/>
  <c r="K42" i="8"/>
  <c r="M66" i="3" l="1"/>
  <c r="M62" i="3"/>
  <c r="M60" i="3"/>
  <c r="M59" i="3"/>
  <c r="M57" i="3"/>
  <c r="M56" i="3"/>
  <c r="M55" i="3"/>
  <c r="M52" i="3"/>
  <c r="K66" i="3"/>
  <c r="K62" i="3"/>
  <c r="K60" i="3"/>
  <c r="K59" i="3"/>
  <c r="K57" i="3"/>
  <c r="K56" i="3"/>
  <c r="K55" i="3"/>
  <c r="K52" i="3"/>
  <c r="I66" i="3"/>
  <c r="I65" i="3"/>
  <c r="I62" i="3"/>
  <c r="I61" i="3"/>
  <c r="I60" i="3"/>
  <c r="I59" i="3"/>
  <c r="I58" i="3"/>
  <c r="I57" i="3"/>
  <c r="I55" i="3"/>
  <c r="I52" i="3"/>
  <c r="G66" i="3"/>
  <c r="G65" i="3"/>
  <c r="G62" i="3"/>
  <c r="G61" i="3"/>
  <c r="G60" i="3"/>
  <c r="G59" i="3"/>
  <c r="G57" i="3"/>
  <c r="G56" i="3"/>
  <c r="G55" i="3"/>
  <c r="G52" i="3"/>
  <c r="G51" i="3"/>
  <c r="E66" i="3"/>
  <c r="E65" i="3"/>
  <c r="E62" i="3"/>
  <c r="E61" i="3"/>
  <c r="E60" i="3"/>
  <c r="E59" i="3"/>
  <c r="E57" i="3"/>
  <c r="E56" i="3"/>
  <c r="E55" i="3"/>
  <c r="E52" i="3"/>
  <c r="M51" i="3"/>
  <c r="K51" i="3"/>
  <c r="I51" i="3"/>
  <c r="E51" i="3"/>
  <c r="C66" i="3"/>
  <c r="C65" i="3"/>
  <c r="C62" i="3"/>
  <c r="C61" i="3"/>
  <c r="C60" i="3"/>
  <c r="C59" i="3"/>
  <c r="C57" i="3"/>
  <c r="C56" i="3"/>
  <c r="C55" i="3"/>
  <c r="C52" i="3"/>
  <c r="C51" i="3"/>
  <c r="H63" i="3"/>
  <c r="W53" i="3" s="1"/>
  <c r="X53" i="3" s="1"/>
  <c r="L53" i="3"/>
  <c r="AA50" i="3" s="1"/>
  <c r="AB50" i="3" s="1"/>
  <c r="J53" i="3"/>
  <c r="Y50" i="3" s="1"/>
  <c r="Z50" i="3" s="1"/>
  <c r="H53" i="3"/>
  <c r="W50" i="3" s="1"/>
  <c r="X50" i="3" s="1"/>
  <c r="F53" i="3"/>
  <c r="U50" i="3" s="1"/>
  <c r="V50" i="3" s="1"/>
  <c r="D53" i="3"/>
  <c r="S50" i="3" s="1"/>
  <c r="T50" i="3" s="1"/>
  <c r="B53" i="3"/>
  <c r="Q50" i="3" s="1"/>
  <c r="G40" i="11"/>
  <c r="P29" i="11" s="1"/>
  <c r="F40" i="11"/>
  <c r="O29" i="11" s="1"/>
  <c r="E40" i="11"/>
  <c r="N29" i="11" s="1"/>
  <c r="D40" i="11"/>
  <c r="M29" i="11" s="1"/>
  <c r="C40" i="11"/>
  <c r="L29" i="11" s="1"/>
  <c r="B40" i="11"/>
  <c r="G30" i="11"/>
  <c r="N27" i="13" s="1"/>
  <c r="F30" i="11"/>
  <c r="L27" i="13" s="1"/>
  <c r="E30" i="11"/>
  <c r="J27" i="13" s="1"/>
  <c r="D30" i="11"/>
  <c r="H27" i="13" s="1"/>
  <c r="G28" i="11"/>
  <c r="F28" i="11"/>
  <c r="E28" i="11"/>
  <c r="D28" i="11"/>
  <c r="C28" i="11"/>
  <c r="B28" i="11"/>
  <c r="N19" i="11"/>
  <c r="G16" i="11"/>
  <c r="N8" i="13" s="1"/>
  <c r="O7" i="13" s="1"/>
  <c r="F16" i="11"/>
  <c r="L8" i="13" s="1"/>
  <c r="M7" i="13" s="1"/>
  <c r="E16" i="11"/>
  <c r="J8" i="13" s="1"/>
  <c r="K7" i="13" s="1"/>
  <c r="D16" i="11"/>
  <c r="H8" i="13" s="1"/>
  <c r="I7" i="13" s="1"/>
  <c r="C16" i="11"/>
  <c r="F8" i="13" s="1"/>
  <c r="G7" i="13" s="1"/>
  <c r="B16" i="11"/>
  <c r="D8" i="13" s="1"/>
  <c r="E7" i="13" s="1"/>
  <c r="G12" i="11"/>
  <c r="F12" i="11"/>
  <c r="E12" i="11"/>
  <c r="D12" i="11"/>
  <c r="C12" i="11"/>
  <c r="B12" i="11"/>
  <c r="P9" i="11"/>
  <c r="O9" i="11"/>
  <c r="N9" i="11"/>
  <c r="M9" i="11"/>
  <c r="I41" i="13" s="1"/>
  <c r="H43" i="13" s="1"/>
  <c r="I43" i="13" s="1"/>
  <c r="L9" i="11"/>
  <c r="G41" i="13" s="1"/>
  <c r="F43" i="13" s="1"/>
  <c r="G43" i="13" s="1"/>
  <c r="K9" i="11"/>
  <c r="E41" i="13" s="1"/>
  <c r="D43" i="13" s="1"/>
  <c r="E43" i="13" s="1"/>
  <c r="M41" i="13" l="1"/>
  <c r="L43" i="13" s="1"/>
  <c r="M43" i="13" s="1"/>
  <c r="O41" i="13"/>
  <c r="N43" i="13" s="1"/>
  <c r="O43" i="13" s="1"/>
  <c r="C4" i="17"/>
  <c r="K29" i="11"/>
  <c r="K30" i="11" s="1"/>
  <c r="K31" i="11" s="1"/>
  <c r="D24" i="13"/>
  <c r="E23" i="13" s="1"/>
  <c r="K45" i="13"/>
  <c r="L30" i="11"/>
  <c r="L31" i="11" s="1"/>
  <c r="P30" i="11"/>
  <c r="P31" i="11" s="1"/>
  <c r="O30" i="11"/>
  <c r="O31" i="11" s="1"/>
  <c r="J31" i="13"/>
  <c r="K31" i="13" s="1"/>
  <c r="K41" i="13"/>
  <c r="J43" i="13" s="1"/>
  <c r="K43" i="13" s="1"/>
  <c r="M30" i="11"/>
  <c r="M31" i="11" s="1"/>
  <c r="N30" i="11"/>
  <c r="N31" i="11" s="1"/>
  <c r="F22" i="13"/>
  <c r="F38" i="13"/>
  <c r="F24" i="13"/>
  <c r="G23" i="13" s="1"/>
  <c r="F28" i="13"/>
  <c r="G27" i="13" s="1"/>
  <c r="F18" i="13"/>
  <c r="G17" i="13" s="1"/>
  <c r="F26" i="13"/>
  <c r="F6" i="13"/>
  <c r="G5" i="13" s="1"/>
  <c r="F3" i="13"/>
  <c r="L25" i="13"/>
  <c r="L4" i="13"/>
  <c r="K14" i="11"/>
  <c r="D31" i="13"/>
  <c r="E31" i="13" s="1"/>
  <c r="J22" i="13"/>
  <c r="J38" i="13"/>
  <c r="J24" i="13"/>
  <c r="J26" i="13"/>
  <c r="J28" i="13"/>
  <c r="K27" i="13" s="1"/>
  <c r="J18" i="13"/>
  <c r="K17" i="13" s="1"/>
  <c r="L22" i="13"/>
  <c r="L38" i="13"/>
  <c r="L26" i="13"/>
  <c r="L28" i="13"/>
  <c r="M27" i="13" s="1"/>
  <c r="L18" i="13"/>
  <c r="M17" i="13" s="1"/>
  <c r="L24" i="13"/>
  <c r="M14" i="11"/>
  <c r="H31" i="13"/>
  <c r="I31" i="13" s="1"/>
  <c r="L3" i="13"/>
  <c r="L6" i="13"/>
  <c r="M5" i="13" s="1"/>
  <c r="N20" i="11"/>
  <c r="N23" i="11" s="1"/>
  <c r="J37" i="13"/>
  <c r="J35" i="13"/>
  <c r="J33" i="13"/>
  <c r="K33" i="13" s="1"/>
  <c r="N22" i="13"/>
  <c r="N38" i="13"/>
  <c r="N26" i="13"/>
  <c r="N28" i="13"/>
  <c r="O27" i="13" s="1"/>
  <c r="N18" i="13"/>
  <c r="O17" i="13" s="1"/>
  <c r="N24" i="13"/>
  <c r="N3" i="13"/>
  <c r="N6" i="13"/>
  <c r="O5" i="13" s="1"/>
  <c r="D25" i="13"/>
  <c r="D4" i="13"/>
  <c r="O14" i="11"/>
  <c r="L31" i="13"/>
  <c r="M31" i="13" s="1"/>
  <c r="F25" i="13"/>
  <c r="F4" i="13"/>
  <c r="D3" i="13"/>
  <c r="D6" i="13"/>
  <c r="E5" i="13" s="1"/>
  <c r="J25" i="13"/>
  <c r="J4" i="13"/>
  <c r="H22" i="13"/>
  <c r="H38" i="13"/>
  <c r="H18" i="13"/>
  <c r="I17" i="13" s="1"/>
  <c r="H26" i="13"/>
  <c r="H28" i="13"/>
  <c r="I27" i="13" s="1"/>
  <c r="H24" i="13"/>
  <c r="D18" i="11"/>
  <c r="H6" i="13"/>
  <c r="I5" i="13" s="1"/>
  <c r="H3" i="13"/>
  <c r="N25" i="13"/>
  <c r="N4" i="13"/>
  <c r="L14" i="11"/>
  <c r="F31" i="13"/>
  <c r="G31" i="13" s="1"/>
  <c r="J3" i="13"/>
  <c r="J6" i="13"/>
  <c r="K5" i="13" s="1"/>
  <c r="P14" i="11"/>
  <c r="N31" i="13"/>
  <c r="O31" i="13" s="1"/>
  <c r="H25" i="13"/>
  <c r="H4" i="13"/>
  <c r="D22" i="13"/>
  <c r="D38" i="13"/>
  <c r="D18" i="13"/>
  <c r="E17" i="13" s="1"/>
  <c r="D26" i="13"/>
  <c r="D28" i="13"/>
  <c r="E27" i="13" s="1"/>
  <c r="E53" i="3"/>
  <c r="K53" i="3"/>
  <c r="G53" i="3"/>
  <c r="M53" i="3"/>
  <c r="B58" i="3"/>
  <c r="Q52" i="3" s="1"/>
  <c r="R52" i="3" s="1"/>
  <c r="C53" i="3"/>
  <c r="H64" i="3"/>
  <c r="D58" i="3"/>
  <c r="S52" i="3" s="1"/>
  <c r="T52" i="3" s="1"/>
  <c r="F58" i="3"/>
  <c r="U52" i="3" s="1"/>
  <c r="V52" i="3" s="1"/>
  <c r="I53" i="3"/>
  <c r="J58" i="3"/>
  <c r="Y52" i="3" s="1"/>
  <c r="Z52" i="3" s="1"/>
  <c r="I63" i="3"/>
  <c r="L58" i="3"/>
  <c r="AA52" i="3" s="1"/>
  <c r="AB52" i="3" s="1"/>
  <c r="E18" i="11"/>
  <c r="F18" i="11"/>
  <c r="B18" i="11"/>
  <c r="C18" i="11"/>
  <c r="G18" i="11"/>
  <c r="D32" i="11"/>
  <c r="E32" i="11"/>
  <c r="F32" i="11"/>
  <c r="G32" i="11"/>
  <c r="M25" i="11" l="1"/>
  <c r="I29" i="13"/>
  <c r="K19" i="11"/>
  <c r="D33" i="13" s="1"/>
  <c r="E33" i="13" s="1"/>
  <c r="K26" i="11"/>
  <c r="E29" i="13" s="1"/>
  <c r="E3" i="13"/>
  <c r="P17" i="11"/>
  <c r="P19" i="11" s="1"/>
  <c r="O47" i="13"/>
  <c r="P26" i="11"/>
  <c r="L19" i="11"/>
  <c r="F37" i="13" s="1"/>
  <c r="G37" i="13" s="1"/>
  <c r="L26" i="11"/>
  <c r="G29" i="13" s="1"/>
  <c r="G47" i="13"/>
  <c r="E47" i="13"/>
  <c r="N32" i="11"/>
  <c r="M32" i="11"/>
  <c r="O32" i="11"/>
  <c r="L32" i="11"/>
  <c r="O17" i="11"/>
  <c r="O19" i="11" s="1"/>
  <c r="M47" i="13"/>
  <c r="O26" i="11"/>
  <c r="M29" i="13" s="1"/>
  <c r="O25" i="13"/>
  <c r="M19" i="11"/>
  <c r="M20" i="11" s="1"/>
  <c r="M23" i="11" s="1"/>
  <c r="I47" i="13"/>
  <c r="K32" i="11"/>
  <c r="P32" i="11"/>
  <c r="K3" i="13"/>
  <c r="E25" i="13"/>
  <c r="I25" i="13"/>
  <c r="M25" i="13"/>
  <c r="D42" i="11"/>
  <c r="H19" i="13"/>
  <c r="H23" i="13"/>
  <c r="I23" i="13" s="1"/>
  <c r="G3" i="13"/>
  <c r="L21" i="13"/>
  <c r="L36" i="13"/>
  <c r="L10" i="13"/>
  <c r="M9" i="13" s="1"/>
  <c r="L20" i="13"/>
  <c r="G25" i="13"/>
  <c r="K37" i="13"/>
  <c r="F21" i="13"/>
  <c r="F36" i="13"/>
  <c r="F20" i="13"/>
  <c r="G19" i="13" s="1"/>
  <c r="F10" i="13"/>
  <c r="G9" i="13" s="1"/>
  <c r="D21" i="13"/>
  <c r="D36" i="13"/>
  <c r="D10" i="13"/>
  <c r="E9" i="13" s="1"/>
  <c r="D20" i="13"/>
  <c r="E19" i="13" s="1"/>
  <c r="G42" i="11"/>
  <c r="N23" i="13"/>
  <c r="O23" i="13" s="1"/>
  <c r="N19" i="13"/>
  <c r="J21" i="13"/>
  <c r="K21" i="13" s="1"/>
  <c r="J36" i="13"/>
  <c r="K35" i="13" s="1"/>
  <c r="J20" i="13"/>
  <c r="J10" i="13"/>
  <c r="K9" i="13" s="1"/>
  <c r="I3" i="13"/>
  <c r="F42" i="11"/>
  <c r="L23" i="13"/>
  <c r="M23" i="13" s="1"/>
  <c r="L19" i="13"/>
  <c r="E42" i="11"/>
  <c r="J23" i="13"/>
  <c r="K23" i="13" s="1"/>
  <c r="J19" i="13"/>
  <c r="H21" i="13"/>
  <c r="I21" i="13" s="1"/>
  <c r="H36" i="13"/>
  <c r="H20" i="13"/>
  <c r="H10" i="13"/>
  <c r="I9" i="13" s="1"/>
  <c r="K25" i="13"/>
  <c r="M3" i="13"/>
  <c r="K20" i="11"/>
  <c r="K23" i="11" s="1"/>
  <c r="N21" i="13"/>
  <c r="N36" i="13"/>
  <c r="N10" i="13"/>
  <c r="O9" i="13" s="1"/>
  <c r="N20" i="13"/>
  <c r="O3" i="13"/>
  <c r="H67" i="3"/>
  <c r="I67" i="3" s="1"/>
  <c r="I64" i="3"/>
  <c r="J61" i="3"/>
  <c r="K58" i="3"/>
  <c r="B63" i="3"/>
  <c r="Q53" i="3" s="1"/>
  <c r="R53" i="3" s="1"/>
  <c r="C58" i="3"/>
  <c r="L61" i="3"/>
  <c r="M58" i="3"/>
  <c r="D63" i="3"/>
  <c r="S53" i="3" s="1"/>
  <c r="T53" i="3" s="1"/>
  <c r="E58" i="3"/>
  <c r="F63" i="3"/>
  <c r="U53" i="3" s="1"/>
  <c r="V53" i="3" s="1"/>
  <c r="G58" i="3"/>
  <c r="D35" i="13" l="1"/>
  <c r="D37" i="13"/>
  <c r="E37" i="13" s="1"/>
  <c r="L35" i="13"/>
  <c r="M35" i="13" s="1"/>
  <c r="K39" i="13"/>
  <c r="F35" i="13"/>
  <c r="G35" i="13" s="1"/>
  <c r="O29" i="13"/>
  <c r="O51" i="13"/>
  <c r="N33" i="13"/>
  <c r="O33" i="13" s="1"/>
  <c r="C11" i="17"/>
  <c r="K19" i="13"/>
  <c r="L25" i="11"/>
  <c r="H33" i="13"/>
  <c r="I33" i="13" s="1"/>
  <c r="I39" i="13" s="1"/>
  <c r="P25" i="11"/>
  <c r="N37" i="13"/>
  <c r="O37" i="13" s="1"/>
  <c r="O25" i="11"/>
  <c r="K25" i="11"/>
  <c r="N35" i="13"/>
  <c r="O35" i="13" s="1"/>
  <c r="P20" i="11"/>
  <c r="L20" i="11"/>
  <c r="L23" i="11" s="1"/>
  <c r="F33" i="13"/>
  <c r="G33" i="13" s="1"/>
  <c r="L33" i="13"/>
  <c r="M33" i="13" s="1"/>
  <c r="H37" i="13"/>
  <c r="I37" i="13" s="1"/>
  <c r="E45" i="13"/>
  <c r="E21" i="13" s="1"/>
  <c r="E39" i="13" s="1"/>
  <c r="I45" i="13"/>
  <c r="O45" i="13"/>
  <c r="O21" i="13" s="1"/>
  <c r="P21" i="11"/>
  <c r="P23" i="11" s="1"/>
  <c r="C12" i="17" s="1"/>
  <c r="M45" i="13"/>
  <c r="M21" i="13" s="1"/>
  <c r="O21" i="11"/>
  <c r="O23" i="11" s="1"/>
  <c r="O20" i="11"/>
  <c r="H35" i="13"/>
  <c r="I35" i="13" s="1"/>
  <c r="L37" i="13"/>
  <c r="M37" i="13" s="1"/>
  <c r="G45" i="13"/>
  <c r="G21" i="13" s="1"/>
  <c r="E35" i="13"/>
  <c r="M19" i="13"/>
  <c r="O19" i="13"/>
  <c r="I19" i="13"/>
  <c r="F64" i="3"/>
  <c r="G63" i="3"/>
  <c r="B64" i="3"/>
  <c r="C63" i="3"/>
  <c r="D64" i="3"/>
  <c r="E63" i="3"/>
  <c r="J63" i="3"/>
  <c r="Y53" i="3" s="1"/>
  <c r="Z53" i="3" s="1"/>
  <c r="K61" i="3"/>
  <c r="L63" i="3"/>
  <c r="AA53" i="3" s="1"/>
  <c r="AB53" i="3" s="1"/>
  <c r="M61" i="3"/>
  <c r="G39" i="13" l="1"/>
  <c r="O39" i="13"/>
  <c r="M39" i="13"/>
  <c r="O53" i="13"/>
  <c r="F67" i="3"/>
  <c r="G67" i="3" s="1"/>
  <c r="G64" i="3"/>
  <c r="D67" i="3"/>
  <c r="E67" i="3" s="1"/>
  <c r="E64" i="3"/>
  <c r="M63" i="3"/>
  <c r="L64" i="3"/>
  <c r="M64" i="3" s="1"/>
  <c r="L65" i="3"/>
  <c r="B67" i="3"/>
  <c r="C67" i="3" s="1"/>
  <c r="C64" i="3"/>
  <c r="K63" i="3"/>
  <c r="J65" i="3"/>
  <c r="J64" i="3"/>
  <c r="K64" i="3" s="1"/>
  <c r="J67" i="3" l="1"/>
  <c r="K67" i="3" s="1"/>
  <c r="K65" i="3"/>
  <c r="L67" i="3"/>
  <c r="M67" i="3" s="1"/>
  <c r="M65" i="3"/>
  <c r="E29" i="3" l="1"/>
  <c r="E30" i="3" s="1"/>
  <c r="C29" i="3"/>
  <c r="C30" i="3" s="1"/>
  <c r="E22" i="3"/>
  <c r="E23" i="3"/>
  <c r="E24" i="3"/>
  <c r="E25" i="3"/>
  <c r="E26" i="3"/>
  <c r="E27" i="3"/>
  <c r="C22" i="3"/>
  <c r="C23" i="3"/>
  <c r="C24" i="3"/>
  <c r="C25" i="3"/>
  <c r="C26" i="3"/>
  <c r="C27" i="3"/>
  <c r="E28" i="3" l="1"/>
  <c r="E32" i="3" s="1"/>
  <c r="C28" i="3"/>
  <c r="C32" i="3" s="1"/>
  <c r="L40" i="3" l="1"/>
  <c r="AA6" i="3" s="1"/>
  <c r="J40" i="3"/>
  <c r="Y6" i="3" s="1"/>
  <c r="H40" i="3"/>
  <c r="W6" i="3" s="1"/>
  <c r="F40" i="3"/>
  <c r="U6" i="3" s="1"/>
  <c r="D40" i="3"/>
  <c r="S6" i="3" s="1"/>
  <c r="B40" i="3"/>
  <c r="Q6" i="3" s="1"/>
  <c r="L30" i="3"/>
  <c r="AA20" i="3" s="1"/>
  <c r="J30" i="3"/>
  <c r="Y20" i="3" s="1"/>
  <c r="H30" i="3"/>
  <c r="W20" i="3" s="1"/>
  <c r="F30" i="3"/>
  <c r="U20" i="3" s="1"/>
  <c r="L28" i="3"/>
  <c r="AA19" i="3" s="1"/>
  <c r="J28" i="3"/>
  <c r="Y19" i="3" s="1"/>
  <c r="H28" i="3"/>
  <c r="W19" i="3" s="1"/>
  <c r="F28" i="3"/>
  <c r="U19" i="3" s="1"/>
  <c r="D28" i="3"/>
  <c r="S19" i="3" s="1"/>
  <c r="T19" i="3" s="1"/>
  <c r="B28" i="3"/>
  <c r="Q19" i="3" s="1"/>
  <c r="R19" i="3" s="1"/>
  <c r="L16" i="3"/>
  <c r="AA13" i="3" s="1"/>
  <c r="J16" i="3"/>
  <c r="Y13" i="3" s="1"/>
  <c r="H16" i="3"/>
  <c r="W13" i="3" s="1"/>
  <c r="F16" i="3"/>
  <c r="U13" i="3" s="1"/>
  <c r="D16" i="3"/>
  <c r="S13" i="3" s="1"/>
  <c r="B16" i="3"/>
  <c r="Q13" i="3" s="1"/>
  <c r="L12" i="3"/>
  <c r="AA12" i="3" s="1"/>
  <c r="J12" i="3"/>
  <c r="Y12" i="3" s="1"/>
  <c r="H12" i="3"/>
  <c r="W12" i="3" s="1"/>
  <c r="F12" i="3"/>
  <c r="U12" i="3" s="1"/>
  <c r="D12" i="3"/>
  <c r="S12" i="3" s="1"/>
  <c r="B12" i="3"/>
  <c r="Q12" i="3" s="1"/>
  <c r="G35" i="3" l="1"/>
  <c r="G36" i="3"/>
  <c r="G37" i="3"/>
  <c r="G38" i="3"/>
  <c r="G39" i="3"/>
  <c r="E38" i="3"/>
  <c r="E39" i="3"/>
  <c r="E37" i="3"/>
  <c r="E35" i="3"/>
  <c r="E36" i="3"/>
  <c r="I35" i="3"/>
  <c r="I36" i="3"/>
  <c r="I39" i="3"/>
  <c r="I37" i="3"/>
  <c r="I38" i="3"/>
  <c r="K37" i="3"/>
  <c r="K38" i="3"/>
  <c r="K39" i="3"/>
  <c r="K36" i="3"/>
  <c r="K35" i="3"/>
  <c r="M35" i="3"/>
  <c r="M36" i="3"/>
  <c r="M37" i="3"/>
  <c r="M38" i="3"/>
  <c r="M39" i="3"/>
  <c r="C39" i="3"/>
  <c r="C38" i="3"/>
  <c r="C37" i="3"/>
  <c r="C36" i="3"/>
  <c r="C35" i="3"/>
  <c r="J18" i="3"/>
  <c r="L18" i="3"/>
  <c r="B18" i="3"/>
  <c r="D18" i="3"/>
  <c r="F32" i="3"/>
  <c r="F18" i="3"/>
  <c r="L32" i="3"/>
  <c r="H18" i="3"/>
  <c r="H32" i="3"/>
  <c r="J32" i="3"/>
  <c r="AA11" i="3" l="1"/>
  <c r="AA4" i="3"/>
  <c r="AB6" i="3" s="1"/>
  <c r="Y5" i="3"/>
  <c r="Y18" i="3"/>
  <c r="W5" i="3"/>
  <c r="W18" i="3"/>
  <c r="W11" i="3"/>
  <c r="W4" i="3"/>
  <c r="X6" i="3" s="1"/>
  <c r="AA5" i="3"/>
  <c r="AA18" i="3"/>
  <c r="U4" i="3"/>
  <c r="V6" i="3" s="1"/>
  <c r="U11" i="3"/>
  <c r="U5" i="3"/>
  <c r="V5" i="3" s="1"/>
  <c r="U18" i="3"/>
  <c r="Y11" i="3"/>
  <c r="Y4" i="3"/>
  <c r="Z6" i="3" s="1"/>
  <c r="S4" i="3"/>
  <c r="S11" i="3"/>
  <c r="Q11" i="3"/>
  <c r="Q4" i="3"/>
  <c r="E40" i="3"/>
  <c r="C40" i="3"/>
  <c r="M22" i="3"/>
  <c r="M23" i="3"/>
  <c r="M24" i="3"/>
  <c r="M29" i="3"/>
  <c r="M30" i="3" s="1"/>
  <c r="M25" i="3"/>
  <c r="M26" i="3"/>
  <c r="M27" i="3"/>
  <c r="I25" i="3"/>
  <c r="I27" i="3"/>
  <c r="I24" i="3"/>
  <c r="I26" i="3"/>
  <c r="I22" i="3"/>
  <c r="I29" i="3"/>
  <c r="I30" i="3" s="1"/>
  <c r="I23" i="3"/>
  <c r="F42" i="3"/>
  <c r="G27" i="3"/>
  <c r="G22" i="3"/>
  <c r="G23" i="3"/>
  <c r="G29" i="3"/>
  <c r="G30" i="3" s="1"/>
  <c r="G24" i="3"/>
  <c r="G26" i="3"/>
  <c r="G25" i="3"/>
  <c r="M40" i="3"/>
  <c r="K40" i="3"/>
  <c r="K23" i="3"/>
  <c r="K25" i="3"/>
  <c r="K26" i="3"/>
  <c r="K22" i="3"/>
  <c r="K27" i="3"/>
  <c r="K29" i="3"/>
  <c r="K30" i="3" s="1"/>
  <c r="K24" i="3"/>
  <c r="I40" i="3"/>
  <c r="G40" i="3"/>
  <c r="G8" i="3"/>
  <c r="G14" i="3"/>
  <c r="G16" i="3" s="1"/>
  <c r="G9" i="3"/>
  <c r="G10" i="3"/>
  <c r="G11" i="3"/>
  <c r="C15" i="3"/>
  <c r="C14" i="3"/>
  <c r="C11" i="3"/>
  <c r="C10" i="3"/>
  <c r="C8" i="3"/>
  <c r="C9" i="3"/>
  <c r="M14" i="3"/>
  <c r="M16" i="3" s="1"/>
  <c r="M10" i="3"/>
  <c r="M11" i="3"/>
  <c r="M9" i="3"/>
  <c r="M8" i="3"/>
  <c r="K14" i="3"/>
  <c r="K16" i="3" s="1"/>
  <c r="K8" i="3"/>
  <c r="K9" i="3"/>
  <c r="K10" i="3"/>
  <c r="K11" i="3"/>
  <c r="I10" i="3"/>
  <c r="I11" i="3"/>
  <c r="I14" i="3"/>
  <c r="I16" i="3" s="1"/>
  <c r="I9" i="3"/>
  <c r="I8" i="3"/>
  <c r="E10" i="3"/>
  <c r="E11" i="3"/>
  <c r="E15" i="3"/>
  <c r="E14" i="3"/>
  <c r="E8" i="3"/>
  <c r="E9" i="3"/>
  <c r="J42" i="3"/>
  <c r="H42" i="3"/>
  <c r="L42" i="3"/>
  <c r="X5" i="3" l="1"/>
  <c r="Z12" i="3"/>
  <c r="Z13" i="3"/>
  <c r="X13" i="3"/>
  <c r="X12" i="3"/>
  <c r="V20" i="3"/>
  <c r="V19" i="3"/>
  <c r="R5" i="3"/>
  <c r="R6" i="3"/>
  <c r="V13" i="3"/>
  <c r="V12" i="3"/>
  <c r="Z19" i="3"/>
  <c r="Z20" i="3"/>
  <c r="X19" i="3"/>
  <c r="X20" i="3"/>
  <c r="R12" i="3"/>
  <c r="R13" i="3"/>
  <c r="Z5" i="3"/>
  <c r="T13" i="3"/>
  <c r="T12" i="3"/>
  <c r="AB20" i="3"/>
  <c r="AB19" i="3"/>
  <c r="T5" i="3"/>
  <c r="T6" i="3"/>
  <c r="AB5" i="3"/>
  <c r="AB13" i="3"/>
  <c r="AB12" i="3"/>
  <c r="E16" i="3"/>
  <c r="K28" i="3"/>
  <c r="K32" i="3" s="1"/>
  <c r="I28" i="3"/>
  <c r="I32" i="3" s="1"/>
  <c r="G12" i="3"/>
  <c r="G18" i="3" s="1"/>
  <c r="G28" i="3"/>
  <c r="G32" i="3" s="1"/>
  <c r="M28" i="3"/>
  <c r="M32" i="3" s="1"/>
  <c r="M12" i="3"/>
  <c r="M18" i="3" s="1"/>
  <c r="E12" i="3"/>
  <c r="C16" i="3"/>
  <c r="I12" i="3"/>
  <c r="I18" i="3" s="1"/>
  <c r="K12" i="3"/>
  <c r="K18" i="3" s="1"/>
  <c r="C12" i="3"/>
  <c r="E18" i="3" l="1"/>
  <c r="C18" i="3"/>
</calcChain>
</file>

<file path=xl/sharedStrings.xml><?xml version="1.0" encoding="utf-8"?>
<sst xmlns="http://schemas.openxmlformats.org/spreadsheetml/2006/main" count="938" uniqueCount="524">
  <si>
    <t xml:space="preserve">DEBILIDADES </t>
  </si>
  <si>
    <t xml:space="preserve">OPORTUNIDADES </t>
  </si>
  <si>
    <t xml:space="preserve">FORTALEZAS </t>
  </si>
  <si>
    <t>AMENAZAS</t>
  </si>
  <si>
    <t xml:space="preserve">MATRIZ DOFA CAVCA LTDA </t>
  </si>
  <si>
    <t>Politicas internas del pago de comisiones y bonificaciones</t>
  </si>
  <si>
    <t>Politicas internas de incremento de salarial</t>
  </si>
  <si>
    <t xml:space="preserve">Rotacion de cartera </t>
  </si>
  <si>
    <t>Falta de politicas internas del pago de comisiones y bonificaciones</t>
  </si>
  <si>
    <t xml:space="preserve">Fluctuaciones en la inflacion y en el costo de vida de los colombianos </t>
  </si>
  <si>
    <t>Fluctuaciones en la tasa de cambio, afecta directamente la inversion en tecnologia de la compañía.</t>
  </si>
  <si>
    <t>Variaciones del producto interno bruto nacional</t>
  </si>
  <si>
    <t>Fluctuaciones en el indice de precios al consumidor.</t>
  </si>
  <si>
    <t>Incremento en de la tasa de desempleo.</t>
  </si>
  <si>
    <t>Incremento en la rotacion de personal (personal area comercial)</t>
  </si>
  <si>
    <t xml:space="preserve">Falta de planteamiento de proyecciones financieras y flujos de caja. </t>
  </si>
  <si>
    <t>Falta de reconocimiento de la marca</t>
  </si>
  <si>
    <t xml:space="preserve">Diversificacion de productos </t>
  </si>
  <si>
    <t>Compañía con mas de 10 de experiencia en sector asegurador.</t>
  </si>
  <si>
    <t>Compañía con varios reconocimientos dentro del mercado asegurador.</t>
  </si>
  <si>
    <t xml:space="preserve">Expansion de pandemia COVD 19 </t>
  </si>
  <si>
    <t>Ciclos de rotacion de efectivo favorable.</t>
  </si>
  <si>
    <t>Convenios con las aseguradores mas representavivas del sector a nivel nacional</t>
  </si>
  <si>
    <t>Incremento de la competencia directa e indirecta, actualmente cuentan con las de 22 mil intermediarios competidores.</t>
  </si>
  <si>
    <t>Personal con alto nivel en conocimientos profesional de los servicios ofrecidos.</t>
  </si>
  <si>
    <t>Cavca cuenta con un grupo solido de apoyo, que ofrece alternativas de financiamiento a todos sus clientes.</t>
  </si>
  <si>
    <t>Indicadores financieros pósitivos en comparacion con el sector nacional e internacional del mercado asegurador., demostrando que son una compañía liquida, rentable y eficiente en sus ciclos de rotacion.</t>
  </si>
  <si>
    <t xml:space="preserve">Expansion del mercado a nivel nacional e internacional. </t>
  </si>
  <si>
    <t>Implementacion de las multiples opciones a nivel tecnologico que se ofrecen a nivel mundial.</t>
  </si>
  <si>
    <t>Servicio de atencion al cliente personalizada y especializada de acuerdo a cada servicio ofrecido.</t>
  </si>
  <si>
    <t>ACTIVOS</t>
  </si>
  <si>
    <t>ACTIVO CORRIENTE</t>
  </si>
  <si>
    <t>EFECTIVO Y EQUIVALENTE A EFECTIVO</t>
  </si>
  <si>
    <t>DEUDORES COMERC Y OTRAS CUENTAS</t>
  </si>
  <si>
    <t>ACTIVOS POR IMPUESTOS CORRIENTES</t>
  </si>
  <si>
    <t>OTROS ACTIVOS NO FINANC CORRIENTE</t>
  </si>
  <si>
    <t>TOTAL ACTIVO CORRIENTE</t>
  </si>
  <si>
    <t>ACTIVO NO CORRIENTE</t>
  </si>
  <si>
    <t>PROPIEDAD PLANTA Y EQUIPO</t>
  </si>
  <si>
    <t>OTROS ACTIVOS NO FINANC NO CORRIENTES</t>
  </si>
  <si>
    <t>TOTAL ACTIVOS NO CORRIENTES</t>
  </si>
  <si>
    <t>TOTAL ACTIVO</t>
  </si>
  <si>
    <t>PASIVOS</t>
  </si>
  <si>
    <t>PASIVO CORRIENTE</t>
  </si>
  <si>
    <t xml:space="preserve">PROVISIONES POR BENEFICIOS A LOS EMPLEADOS </t>
  </si>
  <si>
    <t>ACREEDORES COMERCIALES Y OTRAS</t>
  </si>
  <si>
    <t>PASIVOS POR IMPUESTOS CORRIENTES</t>
  </si>
  <si>
    <t>OBLIGACIONES LABORALES CORRIENTES</t>
  </si>
  <si>
    <t>OTROS PASIVOS FINANC CORRIENTES</t>
  </si>
  <si>
    <t>PASIVOS NO FINANC CORRIENTES</t>
  </si>
  <si>
    <t>TOTAL PASIVO CORRIENTE</t>
  </si>
  <si>
    <t>OTROS PASIVOS NO CORRIENTES</t>
  </si>
  <si>
    <t>TOTAL PASIVOS NO CORRIENTES</t>
  </si>
  <si>
    <t>TOTAL PASIVOS</t>
  </si>
  <si>
    <t>PATRIMONIO</t>
  </si>
  <si>
    <t>CAPITAL</t>
  </si>
  <si>
    <t xml:space="preserve">RESERVA LEGAL </t>
  </si>
  <si>
    <t>GANANCIAS Y/O PERDIDAS ACUMULADAS</t>
  </si>
  <si>
    <t xml:space="preserve">GANANCIAS Y/O PERDIDAS DEL PERIODO </t>
  </si>
  <si>
    <t>OTRAS RESERVAS</t>
  </si>
  <si>
    <t>TOTAL PATRIMONIO</t>
  </si>
  <si>
    <t>TOTAL PASIVO Y PATRIMONIO</t>
  </si>
  <si>
    <t>INGRESOS</t>
  </si>
  <si>
    <t>INGRESOS DE ACTIVIDADES ORDINARIAS</t>
  </si>
  <si>
    <t>(-) COSTOS OPERACIONALES</t>
  </si>
  <si>
    <t>MARGEN BRUTO</t>
  </si>
  <si>
    <t>(+) OTROS INGRESOS</t>
  </si>
  <si>
    <t xml:space="preserve">(-) GASTOS DE ADMINISTRACION </t>
  </si>
  <si>
    <t>(-) OTROS GASTOS</t>
  </si>
  <si>
    <t>(-) GASTOS FINANCIEROS</t>
  </si>
  <si>
    <t>MARGEN ANTES DE IMPUESTOS</t>
  </si>
  <si>
    <t xml:space="preserve">INGRESOS FINANCIEROS </t>
  </si>
  <si>
    <t xml:space="preserve">GASTOS FINANCIEROS </t>
  </si>
  <si>
    <t xml:space="preserve">GANANCIA (PERDIDA) ANTES DE IMPUESTOS </t>
  </si>
  <si>
    <t>IMPUESTO A LAS GANANCIAS</t>
  </si>
  <si>
    <t>RESULTADO DEL PERIODO</t>
  </si>
  <si>
    <t>RESULTADO INTEGRAL TOTAL</t>
  </si>
  <si>
    <t>(+/-) GANANCIAS ACUMULADAS DEL PERIODO</t>
  </si>
  <si>
    <t>DIVIDENDOS DECLARADOS Y PAGADOS</t>
  </si>
  <si>
    <t>RESULTADO ACUMULADO</t>
  </si>
  <si>
    <t>Indicadores Macroeconomicos</t>
  </si>
  <si>
    <t>PASADO</t>
  </si>
  <si>
    <t xml:space="preserve">PROYECCION </t>
  </si>
  <si>
    <t>a</t>
  </si>
  <si>
    <t xml:space="preserve">Pib </t>
  </si>
  <si>
    <t>b</t>
  </si>
  <si>
    <t>Inflación del IPC</t>
  </si>
  <si>
    <t>c</t>
  </si>
  <si>
    <t xml:space="preserve">Tasa de cambio </t>
  </si>
  <si>
    <t>d</t>
  </si>
  <si>
    <t xml:space="preserve">Desempleo </t>
  </si>
  <si>
    <t>e</t>
  </si>
  <si>
    <t>Costo de Vida</t>
  </si>
  <si>
    <t>Indicadores Microeconomicos</t>
  </si>
  <si>
    <t>Ficha Técnica</t>
  </si>
  <si>
    <r>
      <t xml:space="preserve">De acuerdo al analisis estrategico realizado a la compañía CAVCA LTDA, podemos decir que el 32% de nuestros activos corrientes estan representador por  </t>
    </r>
    <r>
      <rPr>
        <b/>
        <sz val="11"/>
        <color indexed="8"/>
        <rFont val="Arial Unicode MS"/>
        <family val="2"/>
      </rPr>
      <t>activos impuestos corrientes</t>
    </r>
    <r>
      <rPr>
        <sz val="11"/>
        <color indexed="8"/>
        <rFont val="Arial Unicode MS"/>
        <family val="2"/>
      </rPr>
      <t xml:space="preserve"> con un valor en pesos $312.353.000 y el 19% estan representados por </t>
    </r>
    <r>
      <rPr>
        <b/>
        <sz val="11"/>
        <color indexed="8"/>
        <rFont val="Arial Unicode MS"/>
        <family val="2"/>
      </rPr>
      <t xml:space="preserve">otros activos no financieros, </t>
    </r>
    <r>
      <rPr>
        <sz val="11"/>
        <color indexed="8"/>
        <rFont val="Arial Unicode MS"/>
        <family val="2"/>
      </rPr>
      <t xml:space="preserve">compuestos principalmente por anticipos efectuados principalmente a proveedores y empleados, en cuanto al pasivo de CAVCA LTDA el 24% corresponde a </t>
    </r>
    <r>
      <rPr>
        <b/>
        <sz val="11"/>
        <color indexed="8"/>
        <rFont val="Arial Unicode MS"/>
        <family val="2"/>
      </rPr>
      <t>provisiones por beneficios a los empleados</t>
    </r>
    <r>
      <rPr>
        <sz val="11"/>
        <color indexed="8"/>
        <rFont val="Arial Unicode MS"/>
        <family val="2"/>
      </rPr>
      <t xml:space="preserve"> como lo son el pago de cesantias, int sobre las cesantias y vacaciones, adicionalmente el estado de resutados nos refleja que con 52% el item de mayor relevancia corresponde a los </t>
    </r>
    <r>
      <rPr>
        <b/>
        <sz val="11"/>
        <color indexed="8"/>
        <rFont val="Arial Unicode MS"/>
        <family val="2"/>
      </rPr>
      <t>costos operacionales</t>
    </r>
    <r>
      <rPr>
        <sz val="11"/>
        <color indexed="8"/>
        <rFont val="Arial Unicode MS"/>
        <family val="2"/>
      </rPr>
      <t xml:space="preserve">, en donde su principal factor corresponde a los gasto de personal con $1.138.740.715 y con un 37% los </t>
    </r>
    <r>
      <rPr>
        <b/>
        <sz val="11"/>
        <color indexed="8"/>
        <rFont val="Arial Unicode MS"/>
        <family val="2"/>
      </rPr>
      <t>gastos de administracion</t>
    </r>
    <r>
      <rPr>
        <sz val="11"/>
        <color indexed="8"/>
        <rFont val="Arial Unicode MS"/>
        <family val="2"/>
      </rPr>
      <t xml:space="preserve">, en donde evidenciamos que los gastos de personal administrativo tiene un valor de $408.950.417. Por lo tanto podemos definir que los siguientes factores macroeconomicos son los que afectan directamente a nuestra compañia: el PIB (Producto Interno Bruto), la Inflacion y el coste de vida siendo de los fundamentales debido a que dependiendo de su volatilidad los ingresos de la poblacion se ven beneficiados o afectados, o en su efecto que tanto poder adquisitivo tienen los colombianos para adquirir la compra de una poliza de seguros, esto amenzando directamente las ventas de nuestro servicio, el IPC (Indices de precios al consumidor) debido a su incrmento afecta directamente los costos operacionales de la compañia, la tasa de cambio, CAVCA es una compañia que su enfoque principal es la inversion de la tecnologia al adquirir la compra e importacion de software especializados con el fin de prestar mejor sus servicios. A nivel microeconomico podemos definir que factores como las politicas internas del pago de comisiones y bonificaciones, asi mismo las politicas internas de incremento salarial son las de mayor afectacion para CAVCA debido a que los gastos de personal es el rubro de mayor equivalencia en sus estados de resultados, en donde debemos tener presente que tanto incrementa el salario minimo cada año y todo el factor prestacioneal que este compete, adicionalmente factores micro economicos como lo son la rotacion de la cartera son factores que impactan directamente la rotacion de nuestro efectivo, ingresos, impuestos por pagar y reservas y por ende las cuentas por cobrar a las aseguradoras y las cuentas por pagar a nuestros proveedores. </t>
    </r>
  </si>
  <si>
    <t>VARIABLES EXÓGENAS QUE AFECTAN A CAVCA LTDA</t>
  </si>
  <si>
    <t xml:space="preserve">ESTADO DE SITUACIÓN FINANCIERA CONSOLIDADO </t>
  </si>
  <si>
    <t>(REPRESENTADO EN MILLONES DE PESOS)</t>
  </si>
  <si>
    <t>AL 31 DE DICIEMBRE DE 2015-2016-2017-2018-2019-2020</t>
  </si>
  <si>
    <t xml:space="preserve">Cavca Ltda </t>
  </si>
  <si>
    <t>Estructura del Balance General en el Análisis Vertical</t>
  </si>
  <si>
    <t>Absoluto 2020</t>
  </si>
  <si>
    <t>Relativo 2020</t>
  </si>
  <si>
    <t>Absoluto 2019</t>
  </si>
  <si>
    <t>Relativo 2019</t>
  </si>
  <si>
    <t>Activo total</t>
  </si>
  <si>
    <t>Pasivo Total</t>
  </si>
  <si>
    <t>Patrimonio Total</t>
  </si>
  <si>
    <t>Absoluto 2015</t>
  </si>
  <si>
    <t>Absoluto 2016</t>
  </si>
  <si>
    <t>Absoluto 2017</t>
  </si>
  <si>
    <t>Absoluto 2018</t>
  </si>
  <si>
    <t>Relativo 2015</t>
  </si>
  <si>
    <t>Relativo 2016</t>
  </si>
  <si>
    <t>Relativo 2017</t>
  </si>
  <si>
    <t>Relativo 2018</t>
  </si>
  <si>
    <t>Estructura del Activo del Balance General en el Análisis Vertical</t>
  </si>
  <si>
    <t>Total Activos</t>
  </si>
  <si>
    <t>Estructura del Pasivo del Balance General en el Análisis Vertical</t>
  </si>
  <si>
    <t>Total Pasivos</t>
  </si>
  <si>
    <t>Total Pasivo a largo plazo</t>
  </si>
  <si>
    <t>Estructura del Estado de Resultados en el Análisis Vertical</t>
  </si>
  <si>
    <t>Ventas netas</t>
  </si>
  <si>
    <t>Utilidad bruta</t>
  </si>
  <si>
    <t>Gastos de operación</t>
  </si>
  <si>
    <t>Utilidad antes de impuestos</t>
  </si>
  <si>
    <t>Utilidad neta</t>
  </si>
  <si>
    <t>Total Activo Corriente</t>
  </si>
  <si>
    <t>Total Activo No corriente</t>
  </si>
  <si>
    <t>Total Pasivo Corriente</t>
  </si>
  <si>
    <t xml:space="preserve">Perspectiva Financiera </t>
  </si>
  <si>
    <t xml:space="preserve">METAS </t>
  </si>
  <si>
    <t xml:space="preserve">INDICADORES </t>
  </si>
  <si>
    <t>Aumentar los ingresos en un 300% para el años 2026</t>
  </si>
  <si>
    <t xml:space="preserve">Estados Financieros </t>
  </si>
  <si>
    <t xml:space="preserve">Implementar un modelo financiero </t>
  </si>
  <si>
    <t xml:space="preserve">Modelo financiero y estados financieros </t>
  </si>
  <si>
    <t xml:space="preserve">Establecer flujos de caja y proyecciones financieras </t>
  </si>
  <si>
    <t xml:space="preserve">Ejecutados de flujos de caja </t>
  </si>
  <si>
    <t>Perspectiva del Cliente</t>
  </si>
  <si>
    <t xml:space="preserve">Perspectiva interna del proyecto </t>
  </si>
  <si>
    <t xml:space="preserve">Hacer campañas publicitarias para dar a conocer a marca </t>
  </si>
  <si>
    <t>Incremento en los ingresos de la compañía</t>
  </si>
  <si>
    <r>
      <rPr>
        <b/>
        <sz val="11"/>
        <color theme="1"/>
        <rFont val="Calibri"/>
        <family val="2"/>
        <scheme val="minor"/>
      </rPr>
      <t xml:space="preserve"> Vision : </t>
    </r>
    <r>
      <rPr>
        <sz val="11"/>
        <color theme="1"/>
        <rFont val="Calibri"/>
        <family val="2"/>
        <scheme val="minor"/>
      </rPr>
      <t>Ser la agencia de seguros más grande de Colombia, posicionados en todos los ramos de los seguros, como el aliado principal de las organizaciones y personas en la protección de su patrimonio y cubrimiento de riesgos.</t>
    </r>
  </si>
  <si>
    <t xml:space="preserve">Lograr reconocimiento en el mercado de corredores de seguros a nivel nacional </t>
  </si>
  <si>
    <t xml:space="preserve">Incremento en ingresos de la compañía </t>
  </si>
  <si>
    <t xml:space="preserve">Aumentar la planta del personal comercial,  con el fin de  incrementar los clientes </t>
  </si>
  <si>
    <t xml:space="preserve">Indicadores de Gestion </t>
  </si>
  <si>
    <t>Especializarnos en la venta on line de cada uno de los servicios</t>
  </si>
  <si>
    <t>Incremento de la facturacion mensual de la compañía</t>
  </si>
  <si>
    <t xml:space="preserve"> Estructurar cada linea de negocios , en cabeza de un director comercial especializado en cada ramo de servicio</t>
  </si>
  <si>
    <t xml:space="preserve">Mejorar el perfil de la contratacion del personal comercial y ventas </t>
  </si>
  <si>
    <t xml:space="preserve">Incremento en la facturacion </t>
  </si>
  <si>
    <t xml:space="preserve">Perspectiva de innovacion y aprendizaje </t>
  </si>
  <si>
    <t xml:space="preserve">Especializar al 100% del equipo comercial, con el fin de contar con equipo especializado </t>
  </si>
  <si>
    <t>Numero de reconocimientos y certificaciones.</t>
  </si>
  <si>
    <t xml:space="preserve">Realizar capacitaciones dirigidas al personal comercial y ventas </t>
  </si>
  <si>
    <t>Encuentas acerca de la atencion al cliente</t>
  </si>
  <si>
    <t xml:space="preserve">ESTADO DE RESULTADOS </t>
  </si>
  <si>
    <t xml:space="preserve">AL 31 DE DICIEMBRE DE 2015-2016-2017-2018-2019-2020    ANÁLISIS VERTICAL </t>
  </si>
  <si>
    <t xml:space="preserve">AL 31 DE DICIEMBRE DE 2015-2016-2017-2018-2019-2020   ANÁLISIS VERTICAL </t>
  </si>
  <si>
    <t>%</t>
  </si>
  <si>
    <t xml:space="preserve">Gastos de administración </t>
  </si>
  <si>
    <t>AL 31 DE DICIEMBRE DE 2015-2016-2017-2018-2019-2020 Análisis Horizontal</t>
  </si>
  <si>
    <t xml:space="preserve">Análisis Horizontal </t>
  </si>
  <si>
    <t xml:space="preserve">Análisis Horizontal del Balance </t>
  </si>
  <si>
    <t xml:space="preserve">Análisis Horizontal del Estado de Resultados </t>
  </si>
  <si>
    <t xml:space="preserve"> OBJETIVO</t>
  </si>
  <si>
    <t>RAZÓN</t>
  </si>
  <si>
    <t>FÓRMULA</t>
  </si>
  <si>
    <t>LIQUIDEZ</t>
  </si>
  <si>
    <t>ACTIVIDAD</t>
  </si>
  <si>
    <t>Ventas Netas Totales</t>
  </si>
  <si>
    <t>Activos Totales</t>
  </si>
  <si>
    <t>ENDEUDAMIENTO</t>
  </si>
  <si>
    <t>Pasivos Totales</t>
  </si>
  <si>
    <t>RENTABILIDAD</t>
  </si>
  <si>
    <t>Utilidad Bruta</t>
  </si>
  <si>
    <t>Cavca LTDA</t>
  </si>
  <si>
    <t>Activo Corriente</t>
  </si>
  <si>
    <t>Pasivo Corriente</t>
  </si>
  <si>
    <t>Activo No corriente</t>
  </si>
  <si>
    <t>Patrimonio</t>
  </si>
  <si>
    <t>Pasivo no corriente</t>
  </si>
  <si>
    <t>las ventas</t>
  </si>
  <si>
    <t>1.EVA</t>
  </si>
  <si>
    <t>(Utilidad Neta/Ventas)*Ventas/Activo Total)* Apalancam</t>
  </si>
  <si>
    <t xml:space="preserve">Saldo Propiedad Planta y Equipo </t>
  </si>
  <si>
    <t xml:space="preserve">Construccion y / o Edificios </t>
  </si>
  <si>
    <t>Muebles y enseres (Equipo de oficina) vida util 10 años</t>
  </si>
  <si>
    <t xml:space="preserve">Equipos de computación vida util 10 años </t>
  </si>
  <si>
    <t xml:space="preserve">Vehiculos </t>
  </si>
  <si>
    <t>Sofware y Hardware</t>
  </si>
  <si>
    <t xml:space="preserve">(-) Total Depreciaciones </t>
  </si>
  <si>
    <t xml:space="preserve">Propiedad Planta y Equipo </t>
  </si>
  <si>
    <t>AÑO</t>
  </si>
  <si>
    <t xml:space="preserve">DEPRECIACIONES </t>
  </si>
  <si>
    <t>Utilidad operativa + Depreciación + Amortización + Provis</t>
  </si>
  <si>
    <t>Ebitda</t>
  </si>
  <si>
    <t xml:space="preserve">Utilidad neta+ intereses + impuestos </t>
  </si>
  <si>
    <t>Utilidad antes de impuestos y gastos financieros</t>
  </si>
  <si>
    <t>TASA IMPOSITIVA</t>
  </si>
  <si>
    <t>UAIDI</t>
  </si>
  <si>
    <t xml:space="preserve">TASA E.A. FINANCIAMIENTO </t>
  </si>
  <si>
    <t>Beta</t>
  </si>
  <si>
    <t xml:space="preserve">tasa libre de riesgo Colombia </t>
  </si>
  <si>
    <t xml:space="preserve">Tasa libre de riesgo </t>
  </si>
  <si>
    <t xml:space="preserve">rentabilidad mercado </t>
  </si>
  <si>
    <t xml:space="preserve">DEUDA </t>
  </si>
  <si>
    <t xml:space="preserve">DEUDA + PATRIMONIO </t>
  </si>
  <si>
    <t>% DEUDA</t>
  </si>
  <si>
    <t xml:space="preserve">% PATRIMONIO </t>
  </si>
  <si>
    <t>TASA LIBRE DE RIESGO+ BETA RIESGO SISTEMICO(RENDIMIENTO DEL MDO-TASA LIBRE DE RIESGO)+(RIESGO PAIS)</t>
  </si>
  <si>
    <t xml:space="preserve">TASA LIBRE DE RIESGO </t>
  </si>
  <si>
    <t xml:space="preserve">BONOS DE USA EN INVESTING A 10AÑOS </t>
  </si>
  <si>
    <t>BETA</t>
  </si>
  <si>
    <t xml:space="preserve">BETA DE AON SEMEJANTE EN SECTOR </t>
  </si>
  <si>
    <t>S&amp;P500</t>
  </si>
  <si>
    <t>REND. MDO</t>
  </si>
  <si>
    <t xml:space="preserve">BANCO MUNDIAL </t>
  </si>
  <si>
    <t xml:space="preserve">RIESGO PAIS </t>
  </si>
  <si>
    <t>CAPM=</t>
  </si>
  <si>
    <t>Proveedores *365</t>
  </si>
  <si>
    <t xml:space="preserve">Costo de ventas </t>
  </si>
  <si>
    <t>Clientes *365</t>
  </si>
  <si>
    <t>Ventas Anuales</t>
  </si>
  <si>
    <t xml:space="preserve">KE /Re </t>
  </si>
  <si>
    <t xml:space="preserve">6. TIO </t>
  </si>
  <si>
    <t>7. WACC</t>
  </si>
  <si>
    <t>Para los periodos de 2015-2016-2017-2018-2019 y 2020. Para el periodo 2015 por cada peso que la empresa adeudaba en su pasivo a corto plazo contaba con 1,46 para cubir sus obligaciones, en 2016 hubo una variación aumentando a 1,96 los cuales cubrian las deudas del activo a corto plazo, sin embargo para los años 2017 y 2018 se titne una variación disminuyendo el indicador, aunque tuvo un decrecimiento se encuentra dentro del rango positivo mayor a 1; para los años 2019 y 2020 el indicador tuvo un crecimiento favorable, de tal manera que se puede concluir que la compañia tiene la capacidad de cubrir las deudas de sus pasivos corrientes con sus activos a corto plazo, cumpliendo asi sus obligaciones financieras.</t>
  </si>
  <si>
    <t xml:space="preserve">Este indicador refleja la eficacia de la empresa en la gestión de sus activos para generar ventas, nos indica cuento dineto genero el dinero que invertimos en activos y cuanto se recibe de retribución por las inversiones realizadas, dentro del comportamiento de los periodos 2015-2020 se evidencia una relación  positiva en el indicador demostrando que tuvieron eficiencia en la administración de los activos totales para obtener ingresos, esto reflejandose en el incremento de sus ventas año tras año manejando eficientemente tanto los activos corrientes como los activos no corrientes </t>
  </si>
  <si>
    <t>El resultado del indicador es muy positivo, sin embargo se debe tener en cuenta que para este caso las depreciaciones son altas por ende el indicador tiende a aumentar de esta forma con un promedio a lo largo de los periodos analizados de 26,19</t>
  </si>
  <si>
    <t>El resultado del indicador es positivo reflejando que la empresa tiene una optima gestión de sus activos corrientes para generar ventas, el ratio ha ido mejorando a lo largo de cada periodo</t>
  </si>
  <si>
    <t xml:space="preserve">Este indicador demuestra que Cavca Ltda para los periodos analizados 2015-2020 ha sido eficiente en la gesrión de sus activos, la empresa genera un mayor nivel de ventas con un menor nivel de inversión, no obstante para el año 2020 se identifica una disminución significativa en el ratio sin este ser negativo </t>
  </si>
  <si>
    <t xml:space="preserve">Sus ciclos de conversión del efectivo muestran que la velocidad con la que recuperan el efectivo es rápida y positiva debido al constante recaudo antes del pago a sus proveedores, lo cual indica un apalancamiento saludable con la deuda a terceros </t>
  </si>
  <si>
    <t>(Activos Totales/Patrimonio)* (EBIT/EBT)</t>
  </si>
  <si>
    <t>OTROS PASIVOS NO CORRIENTES (cuentas x pagar a socios)</t>
  </si>
  <si>
    <t xml:space="preserve">El indice de endeudamiento mide la proporción de los activos totales que fueron financiados por los acreedores de la empresa, con base en lo anterior el indice que tiene Cavca quiere decir tienen un alto apalancamiento con sus acreedores, esto según el análisis horizontal demuestra que se financia en gran proporción en sus proveedores ya que como tal no generan deuda financiera, se interpreta con el ratio de apalancamiento que es beneficioso endeudarse, ya que la deuda atribuiria a incrementar aún más su rentabildad, no obstante el indicador esta generando un resultado positivo mayor a 1, dentro de los indicadores de endeudamiento a corto  y largo plazo se evidencia en los periodos analizados que han tenido una porción prudente de la inversión apalancada con sus proveedores y para el año 2015 presentan un pico en el indicador debito a deuda tomada a corto plazo y deuda con los socios lo cual aumenta el pasivo tanto corriente como no corriente, simultaneamente en este mismo periodo se tiene poca inyección de capital por parte de los socios, sin embargo para los periodos posteriores el indicador se estabiliza. </t>
  </si>
  <si>
    <t>UODI</t>
  </si>
  <si>
    <t>Utilidad  Operativa*(1-tasa impositiva)</t>
  </si>
  <si>
    <t xml:space="preserve">Margen neto de utilidad: con este ratio financiero se pretende medir la rentablidad de una empresa después de sumar los ingresos totales y a estos descontar los costos y gastos operaciones e impuestos, para Cavca Ltda. de acuerdo a los periodos analizados se observa que en los primeros 4 años la rentabilidad neta sobre las ventas totales disminuyo progresivamente, esto debido basicamente al incremento en su planta de personal, ya que una de las estrategias para aumentar sus ventas era aumentar su fuerza comercial de 36 personas y para los periodos de 2017 incrementaron a 79 personas y 2018 llegaron a un total de 94 personas, este siendo un proyecto a largo plazo asumieron la perdida para estas vigencias, sin embargo al mantener el incremento en sus ingresos exponencialmente para cada año se han visto los resultados positivos, esto reflejandolo en su  rentabilidad sobre las ventas para los años posteriores 2019  y 2020, el indicador comparado con la misma industria se muestra positivamente sobre el margen.  UODI: En cuanto al UODI se evidencia que el mejor comportamiento lo tiene el periodo 2020 aún con la participanción de la pandemia, lograron tener un pico más alto  en sus ingresos y mantener sus costos y gastos, reflejando así un resultado efectivo. MARGEN DE UTILIDAD BRUTA: Se evidencia que durante los periodos analizados ha habido un incremento en el margen de utilidad inicialmente del 15% progresivamente hasta tener un crecimiento del 54%frente al periodo inmediatamente anterior, para el año 2020 tuvo igualmente crecimiento sin embargo se vio afectado en cierta medida por pandemia, frente al sector se encuentra en posición positiva, sobre ejecutando el comportamiento de este. ROA: Su pico alto ha sido en la vigencia de 2020 generando asi un margen de rentabilidad sobre los activos del 23,84% estando por encima de los promedios del comportamiento del sector, este ratio ha venido mejorando periodo trás periodo aún teniendo el impacto en los años 2017 y 2018, por otra parte el ROE tiene un comportamiento muy positivo para las vigencias 2019 y 2020 en prncipio con 53,04% y 54,68% respectivamente, esto siendo favorable debido a que viene recuperandose de una inyección de inversión en la planta de personal la cual le costo la rentabilidad de los años 2017 y 2018;  Cavca refleja un ROE superior al ROA lo cual indica que el costo medio de la deuda es inferior y esto ha incrementado la posibilidad de que la rentabilidad sea superior. EBITDA: Teneindo como base la UODI se identifica que la rentabilidad del activo neto al igual que el ROA, EL EBITDA, EBIT Y EBT estuvieron afectados para los periodos de 2017 y 2018 por el aumento en costos y gastos de operación en su planta de personal, para las vigencias de 2019 Y 2020 se encuentran en un punto de estabilidad donde pueden crecer aún más con estrategias de incremento de ingresos. </t>
  </si>
  <si>
    <t>Razón Corriente</t>
  </si>
  <si>
    <t>Rot. Activo Corriente</t>
  </si>
  <si>
    <t>Rot. Activo No corriente</t>
  </si>
  <si>
    <t>Rot.Activos Totales</t>
  </si>
  <si>
    <t>Rotación cuentas x cobrar</t>
  </si>
  <si>
    <t>Rotación proveedores</t>
  </si>
  <si>
    <t xml:space="preserve">Rotación de efectivo </t>
  </si>
  <si>
    <t>Rotac. Patrimonio</t>
  </si>
  <si>
    <t>Endeudamiento</t>
  </si>
  <si>
    <t xml:space="preserve">Apalancamiento </t>
  </si>
  <si>
    <t>Razón de endeudamiento</t>
  </si>
  <si>
    <t>Endeudamiento a corto plazo</t>
  </si>
  <si>
    <t xml:space="preserve">Endeudamiento a largo plazo </t>
  </si>
  <si>
    <t xml:space="preserve"> UODI</t>
  </si>
  <si>
    <t>Margen Utilidad Bruta %</t>
  </si>
  <si>
    <t xml:space="preserve">Rentabilidad sobre </t>
  </si>
  <si>
    <t xml:space="preserve">ROA </t>
  </si>
  <si>
    <t xml:space="preserve">ROE </t>
  </si>
  <si>
    <t>DUPONT</t>
  </si>
  <si>
    <t>EBITDA</t>
  </si>
  <si>
    <t>MARGEN EBITDA %</t>
  </si>
  <si>
    <t>EBIT</t>
  </si>
  <si>
    <t xml:space="preserve"> EBT</t>
  </si>
  <si>
    <t>Cuentas por cobrar clientes</t>
  </si>
  <si>
    <t>Inventarios</t>
  </si>
  <si>
    <t>Propiedad planta y equipo</t>
  </si>
  <si>
    <t xml:space="preserve">ACTIVO NETO DE OPERACIÓN </t>
  </si>
  <si>
    <t>UODI- (Activos * Costos de capital)</t>
  </si>
  <si>
    <t xml:space="preserve">Comentarios variaciones </t>
  </si>
  <si>
    <t>ROA (Rentabilidad sobre activos)</t>
  </si>
  <si>
    <t>ROE (Rentabilidad sobre capital)</t>
  </si>
  <si>
    <t>EBT</t>
  </si>
  <si>
    <t xml:space="preserve">TIO </t>
  </si>
  <si>
    <t>WACC</t>
  </si>
  <si>
    <t>EVA</t>
  </si>
  <si>
    <t>INDICADORES</t>
  </si>
  <si>
    <t xml:space="preserve"> Cavca</t>
  </si>
  <si>
    <t>Anpro</t>
  </si>
  <si>
    <t xml:space="preserve">Gen Kieffer </t>
  </si>
  <si>
    <t>Universal Insure</t>
  </si>
  <si>
    <t>ROA</t>
  </si>
  <si>
    <t>ROA=U/A</t>
  </si>
  <si>
    <t>Rentabilidad sobre ventas</t>
  </si>
  <si>
    <t xml:space="preserve">Margen utilidad bruta </t>
  </si>
  <si>
    <t xml:space="preserve">Razón corriente </t>
  </si>
  <si>
    <t>ANPRO CORREDORES DE SEGUROS S.A. NIT 800.057.218-6
ESTADO DE SITUACION FINANCIERA
CIFRAS EN MILES DE PESOS COLOMBIANOS
Por los periodos terminados al 31 de diciembre de</t>
  </si>
  <si>
    <t>Nota</t>
  </si>
  <si>
    <t>VARIACION</t>
  </si>
  <si>
    <t xml:space="preserve">ACTIVO CORRIENTE </t>
  </si>
  <si>
    <t xml:space="preserve">Cajas </t>
  </si>
  <si>
    <t>Depositos en Instituciones Financieras</t>
  </si>
  <si>
    <t>Total Efectivo y Equivalentes al Efectivo</t>
  </si>
  <si>
    <t>Clientes Nacionales</t>
  </si>
  <si>
    <t>Deterioro</t>
  </si>
  <si>
    <t>Deudores varios</t>
  </si>
  <si>
    <t>Anticipo de Contratos y Proveedores</t>
  </si>
  <si>
    <t>Cargos diferidos</t>
  </si>
  <si>
    <r>
      <rPr>
        <b/>
        <sz val="8"/>
        <rFont val="Arial Narrow"/>
        <family val="2"/>
      </rPr>
      <t>Total Cuentas por Cobrar Comerciales</t>
    </r>
  </si>
  <si>
    <t>Retenciones en la fuente año 2020</t>
  </si>
  <si>
    <t>Auto retenciones por renta año 2020</t>
  </si>
  <si>
    <t>Anticipo renta año 2020</t>
  </si>
  <si>
    <t>Retenciones por ICA año 2020</t>
  </si>
  <si>
    <t>Retenciones de IVA 2020</t>
  </si>
  <si>
    <r>
      <rPr>
        <b/>
        <sz val="8"/>
        <rFont val="Arial Narrow"/>
        <family val="2"/>
      </rPr>
      <t>Activos por impuestos corriente</t>
    </r>
  </si>
  <si>
    <r>
      <rPr>
        <b/>
        <sz val="8"/>
        <rFont val="Arial Narrow"/>
        <family val="2"/>
      </rPr>
      <t>TOTAL ACTIVO CORRIENTE</t>
    </r>
  </si>
  <si>
    <t xml:space="preserve">ACTIVO NO CORRIENTE </t>
  </si>
  <si>
    <t>Vehiculos</t>
  </si>
  <si>
    <t>Edificaciones</t>
  </si>
  <si>
    <t>Muebles y Enseres</t>
  </si>
  <si>
    <t>Equipo de Computación y Comunicación</t>
  </si>
  <si>
    <t>Depreciación Acumulada</t>
  </si>
  <si>
    <t>Total Propiedad, Planta y Equipo</t>
  </si>
  <si>
    <t>TOTAL ACTIVO NO CORRIENTE</t>
  </si>
  <si>
    <t xml:space="preserve">ACTIVO </t>
  </si>
  <si>
    <t>Obligaciones Financieras</t>
  </si>
  <si>
    <t>Total Obligaciones Financieras Corto Plazo</t>
  </si>
  <si>
    <t>Costos y gastos por pagar</t>
  </si>
  <si>
    <t>Seguridad social</t>
  </si>
  <si>
    <t>Pasivos Estimados y Provisiones</t>
  </si>
  <si>
    <t>Otras cuentas por pagar</t>
  </si>
  <si>
    <t>Total Cuentas Comerciales Por Pagar y otras</t>
  </si>
  <si>
    <t>Retención en la Fuente por pagar</t>
  </si>
  <si>
    <t>Impuesto de Renta</t>
  </si>
  <si>
    <t>IVA por pagar</t>
  </si>
  <si>
    <t>De Industria y Comercio</t>
  </si>
  <si>
    <t>Total Pasivos por Impuestos Corrientes</t>
  </si>
  <si>
    <t>Salarios por Pagar</t>
  </si>
  <si>
    <t>Embargos</t>
  </si>
  <si>
    <t>Cooperativas</t>
  </si>
  <si>
    <t>Cesantias e intereses</t>
  </si>
  <si>
    <t>Vacaciones</t>
  </si>
  <si>
    <t>Prima legal</t>
  </si>
  <si>
    <t>Total Beneficios a Empleados</t>
  </si>
  <si>
    <t>Anticipos de clientes</t>
  </si>
  <si>
    <t>Consignaciones pend por identifcar</t>
  </si>
  <si>
    <t>Ingresos recibidos para teceros</t>
  </si>
  <si>
    <t>Total otros pasivos financieros corrientes</t>
  </si>
  <si>
    <t xml:space="preserve">NO CORRIENTE </t>
  </si>
  <si>
    <t>Total Obligaciones Financieras a Largo Plazo</t>
  </si>
  <si>
    <t>Deuda con accionistas</t>
  </si>
  <si>
    <t>Total Otras cuentas cciales por Pagar LP</t>
  </si>
  <si>
    <t>TOTAL PASIVO NO CORRIENTE</t>
  </si>
  <si>
    <t>TOTAL PASIVO</t>
  </si>
  <si>
    <t>P A T R I M O N I O</t>
  </si>
  <si>
    <t>Capital Autorizado</t>
  </si>
  <si>
    <t>Capital por Suscribir</t>
  </si>
  <si>
    <t>Capital Suscrito y Pagado</t>
  </si>
  <si>
    <t>Reserva Legal</t>
  </si>
  <si>
    <t>Reserva Ocasional</t>
  </si>
  <si>
    <t>Superavit</t>
  </si>
  <si>
    <t>Resultado del Ejercicio - Utilidad</t>
  </si>
  <si>
    <t>Resultados de Ejercicios Anteriores</t>
  </si>
  <si>
    <t>Transición NIIF para PYMES</t>
  </si>
  <si>
    <t>Otro Resultado Integral</t>
  </si>
  <si>
    <t>TOTAL PASIVO + PATRIMONIO</t>
  </si>
  <si>
    <r>
      <rPr>
        <b/>
        <sz val="8"/>
        <rFont val="Arial Narrow"/>
        <family val="2"/>
      </rPr>
      <t xml:space="preserve">ANPRO CORREDORES DE SEGUROS S.A. NIT 800.057.218-6
ESTADO DE RESULTADO INTEGRAL
</t>
    </r>
    <r>
      <rPr>
        <b/>
        <sz val="7"/>
        <rFont val="Arial Narrow"/>
        <family val="2"/>
      </rPr>
      <t>CIFRAS EN MILES DE PESOS COLOMBIANOS</t>
    </r>
  </si>
  <si>
    <t>POR LOS PERIODOS COMPRENDIDOS ENTRE EL 01 DE ENERO Y EL 31 DE DICIEMBRE DE:</t>
  </si>
  <si>
    <t>NOTAS</t>
  </si>
  <si>
    <t>I N G R E S O S</t>
  </si>
  <si>
    <t>Ventas Brutas - Comisiones</t>
  </si>
  <si>
    <t>Devoluciones en Ventas</t>
  </si>
  <si>
    <t>UTILIDAD BRUTA EN VENTAS</t>
  </si>
  <si>
    <t>GASTOS DE ADMINISTRACION</t>
  </si>
  <si>
    <t>GASTOS DE VENTAS</t>
  </si>
  <si>
    <t>UTILIDAD OPERACIONAL</t>
  </si>
  <si>
    <t>OTROS INGRESOS</t>
  </si>
  <si>
    <t>OTROS EGRESOS</t>
  </si>
  <si>
    <t>UTILIDAD ANTES DE IMPUESTOS</t>
  </si>
  <si>
    <r>
      <rPr>
        <u/>
        <sz val="7"/>
        <rFont val="Arial Narrow"/>
        <family val="2"/>
      </rPr>
      <t>IMPUESTO DE RENTA</t>
    </r>
  </si>
  <si>
    <t>UTILIDAD O PÉRDIDA DEL EJERCICIO</t>
  </si>
  <si>
    <t>3.4%</t>
  </si>
  <si>
    <t>GANANCIAS O PERDIDA RETENIDAS</t>
  </si>
  <si>
    <t>0.0%</t>
  </si>
  <si>
    <t>UTILIDAD O PERDIDA DEL EJERCICIO</t>
  </si>
  <si>
    <t>3.3%</t>
  </si>
  <si>
    <r>
      <rPr>
        <b/>
        <sz val="7"/>
        <color rgb="FF231F20"/>
        <rFont val="Arial Narrow"/>
        <family val="2"/>
      </rPr>
      <t>BALANCE GENERAL CONSOLIDADO</t>
    </r>
  </si>
  <si>
    <r>
      <rPr>
        <b/>
        <sz val="7"/>
        <color rgb="FF231F20"/>
        <rFont val="Arial Narrow"/>
        <family val="2"/>
      </rPr>
      <t>AL 31 DE DICIEMBRE  DE 2020</t>
    </r>
  </si>
  <si>
    <t>(Pesos Colombianos )</t>
  </si>
  <si>
    <t xml:space="preserve">Disponible </t>
  </si>
  <si>
    <t xml:space="preserve">Exigible tecnico </t>
  </si>
  <si>
    <t xml:space="preserve">Exigible adminsitrativo </t>
  </si>
  <si>
    <t xml:space="preserve">Inversiones </t>
  </si>
  <si>
    <t xml:space="preserve">Bienes de uso </t>
  </si>
  <si>
    <t xml:space="preserve">Transitorio </t>
  </si>
  <si>
    <t xml:space="preserve">Diferido </t>
  </si>
  <si>
    <t xml:space="preserve">TOTAL ACTIVO </t>
  </si>
  <si>
    <t xml:space="preserve">PASIVO </t>
  </si>
  <si>
    <t xml:space="preserve">Obligaciones Tecnicas </t>
  </si>
  <si>
    <t>Obligaciones Administrativas</t>
  </si>
  <si>
    <t xml:space="preserve">PATRIMONIO </t>
  </si>
  <si>
    <t xml:space="preserve">Capital suscrito y pagado </t>
  </si>
  <si>
    <t>Reservas</t>
  </si>
  <si>
    <t xml:space="preserve">Ajuste de capital </t>
  </si>
  <si>
    <t>Resultados de gestiones anterioes</t>
  </si>
  <si>
    <t xml:space="preserve">Resultados del periodo o gestion </t>
  </si>
  <si>
    <t xml:space="preserve">TOTAL PATRIMONIO </t>
  </si>
  <si>
    <t xml:space="preserve">TOTAL PASIVO Y PATRIMONIO </t>
  </si>
  <si>
    <t>ESTADO DE RESULTADOS CONSOLIDADO</t>
  </si>
  <si>
    <t>AL 31 DE DICIEMBRE DE 2020</t>
  </si>
  <si>
    <t xml:space="preserve">INGRESOS </t>
  </si>
  <si>
    <t>Comisiones por intermediacion</t>
  </si>
  <si>
    <t xml:space="preserve">Colocacion en seguros </t>
  </si>
  <si>
    <t>Anulacion Comisiones de inermediacion</t>
  </si>
  <si>
    <t xml:space="preserve">Honorarios por servicios auxiliares </t>
  </si>
  <si>
    <t xml:space="preserve">Corto de produccion </t>
  </si>
  <si>
    <t xml:space="preserve">RESULTADO TECNICO BRUTO </t>
  </si>
  <si>
    <t>Ingresos Administrativos</t>
  </si>
  <si>
    <t xml:space="preserve">Gastos Administrativos </t>
  </si>
  <si>
    <t xml:space="preserve">RESULTADO OPERACIONAL </t>
  </si>
  <si>
    <t xml:space="preserve">Costo de Inversion </t>
  </si>
  <si>
    <t xml:space="preserve">Prevision </t>
  </si>
  <si>
    <t xml:space="preserve">RESULTADO FINANCIERO </t>
  </si>
  <si>
    <t xml:space="preserve">Produtos de Inversion </t>
  </si>
  <si>
    <t>Bienes de Uso</t>
  </si>
  <si>
    <t xml:space="preserve">Ajuste por inflacion y tenencia de bienes </t>
  </si>
  <si>
    <t xml:space="preserve">Perdida por venta de activos </t>
  </si>
  <si>
    <t xml:space="preserve">Perdidas y ganancias </t>
  </si>
  <si>
    <t>RESULTADO POR INFLACION</t>
  </si>
  <si>
    <t xml:space="preserve">Impuesto a las Utilidades </t>
  </si>
  <si>
    <r>
      <rPr>
        <b/>
        <sz val="7"/>
        <rFont val="Tahoma"/>
        <family val="2"/>
      </rPr>
      <t xml:space="preserve">UNIVERSAL INSURANCE HOLDINGS INC 
ESTADO DE SITUACION FINANCIERA
</t>
    </r>
    <r>
      <rPr>
        <b/>
        <sz val="7"/>
        <rFont val="Calibri"/>
        <family val="1"/>
      </rPr>
      <t>CIFRAS EN MILES DE PESOS COLOMBIANOS
Por los periodos terminados al 31 de diciembre de</t>
    </r>
    <r>
      <rPr>
        <b/>
        <sz val="7"/>
        <rFont val="Times New Roman"/>
        <family val="2"/>
        <charset val="204"/>
      </rPr>
      <t xml:space="preserve"> 219 y 2020</t>
    </r>
  </si>
  <si>
    <t>Total de activos corrientes</t>
  </si>
  <si>
    <t>Total activo</t>
  </si>
  <si>
    <t>Efectivo</t>
  </si>
  <si>
    <t>Efectivo y equivalentes de efectivo</t>
  </si>
  <si>
    <t>Cuentas por cobrar, Neto</t>
  </si>
  <si>
    <t>Pagos anticipados</t>
  </si>
  <si>
    <t>Inmuebles, mobiliario y equipo (neto)</t>
  </si>
  <si>
    <t>Inmuebles, mobiliario y equipo (bruto)</t>
  </si>
  <si>
    <t>Depreciación acumulada, Total</t>
  </si>
  <si>
    <t>Crédito mercantil</t>
  </si>
  <si>
    <t>Intangibles, Neto</t>
  </si>
  <si>
    <t>Inversiones permanentes</t>
  </si>
  <si>
    <t>Créditos por operaciones de seguro directo y coaseguro</t>
  </si>
  <si>
    <t>Documentos a cobrar a largo plazo</t>
  </si>
  <si>
    <t>Otros activos permanentes, Total</t>
  </si>
  <si>
    <t>Costos de adquisición diferidos</t>
  </si>
  <si>
    <t>Otros activos, Total</t>
  </si>
  <si>
    <t>Total pasivos corrientes</t>
  </si>
  <si>
    <t>Total pasivo</t>
  </si>
  <si>
    <t>Cuentas por pagar</t>
  </si>
  <si>
    <t>Cuentas por pagar /Obligaciones</t>
  </si>
  <si>
    <t>Inversiones a corto plazo</t>
  </si>
  <si>
    <t>Provisiones técnicas</t>
  </si>
  <si>
    <t>Documentos por pagar/Deuda a corto plazo</t>
  </si>
  <si>
    <t>Deudas con entidades de crédito y obligaciones u otros valores negociables</t>
  </si>
  <si>
    <t>Otras cuentas por pagar, Total</t>
  </si>
  <si>
    <t>Deuda a largo plazo, Total</t>
  </si>
  <si>
    <t>Deuda a largo plazo</t>
  </si>
  <si>
    <t>Obligaciones por contratos de arrendamiento financiero</t>
  </si>
  <si>
    <t>Impuesto a las ganancias diferido</t>
  </si>
  <si>
    <t>Participación no controladora</t>
  </si>
  <si>
    <t>Otros pasivos, Total</t>
  </si>
  <si>
    <t>Capital contable</t>
  </si>
  <si>
    <t>Acciones preferidas rescatable</t>
  </si>
  <si>
    <t>Acciones comunes Total</t>
  </si>
  <si>
    <t>Prima en venta de acciones</t>
  </si>
  <si>
    <t>Resultado de ejercicios anteriores</t>
  </si>
  <si>
    <t>Acciones en tesorería - Acciones Comunes</t>
  </si>
  <si>
    <t>ESOP Acciones a empleados</t>
  </si>
  <si>
    <t>Ganancia (pérdida) no realizada</t>
  </si>
  <si>
    <t>Otras participaciones, Total</t>
  </si>
  <si>
    <t>Total Pasivo y Capital Contable</t>
  </si>
  <si>
    <t>Total de Acciones Comunes en circulación</t>
  </si>
  <si>
    <t>Total de Acciones preferidas en circulación</t>
  </si>
  <si>
    <t>* En millones de USD (excepto para los elementos por acción)</t>
  </si>
  <si>
    <r>
      <rPr>
        <b/>
        <sz val="7"/>
        <rFont val="Tahoma"/>
        <family val="2"/>
      </rPr>
      <t xml:space="preserve">UNIVERSAL INSURANCE HOLDINGS INC 
ESTADO DE RESULTADOS 
</t>
    </r>
    <r>
      <rPr>
        <b/>
        <sz val="7"/>
        <rFont val="Calibri"/>
        <family val="1"/>
      </rPr>
      <t>CIFRAS EN MILES DE PESOS COLOMBIANOS
Por los periodos terminados al 31 de diciembre de</t>
    </r>
    <r>
      <rPr>
        <b/>
        <sz val="7"/>
        <rFont val="Times New Roman"/>
        <family val="2"/>
        <charset val="204"/>
      </rPr>
      <t xml:space="preserve"> 219 y 2020</t>
    </r>
  </si>
  <si>
    <t>Ventas netas totales</t>
  </si>
  <si>
    <t>Primas ganados, Total</t>
  </si>
  <si>
    <t>Ganancias por inversiones</t>
  </si>
  <si>
    <t>Utilidad (pérdida) del ejercicio</t>
  </si>
  <si>
    <t>Otras ventas, Total</t>
  </si>
  <si>
    <t>Total de gastos de operación</t>
  </si>
  <si>
    <t>Pérdidas, ganancias y ajustes, Total</t>
  </si>
  <si>
    <t>Amortización de los costos de adquisición de Poliza</t>
  </si>
  <si>
    <t>Venta y administración General /Mantenimiento/ Renta de equipo, Total</t>
  </si>
  <si>
    <t>Depreciación / Amortización</t>
  </si>
  <si>
    <t>Intereses pagados (Utilidad), Neto</t>
  </si>
  <si>
    <t>Gastos extraordinarios (Utilidad)</t>
  </si>
  <si>
    <t>Otros gastos de Operación, Total</t>
  </si>
  <si>
    <t>Utilidad de operación</t>
  </si>
  <si>
    <t>Gastos por intereses neto + Participación en los resultados de compañías asociadas</t>
  </si>
  <si>
    <t>Utilidad en venta de activos fijos, neto</t>
  </si>
  <si>
    <t>Otros, neto</t>
  </si>
  <si>
    <t>Resultado antes de los impuestos a la utilidad</t>
  </si>
  <si>
    <t>Total de impuestos a la utilidad</t>
  </si>
  <si>
    <t>Resultado neto después de impuestos a la utilidad</t>
  </si>
  <si>
    <t>Participación en el resultado de de subsidiarias y asociadas</t>
  </si>
  <si>
    <t>Ajuste US PCGA (GAAP)</t>
  </si>
  <si>
    <t>Resultado antes de partidas extraordinarias</t>
  </si>
  <si>
    <t>Total de partidas extraordinarias</t>
  </si>
  <si>
    <t>Resultado neto</t>
  </si>
  <si>
    <t>Ajuste total al resultado Neto</t>
  </si>
  <si>
    <t>Ingreso disponible excluyendo partidas extraordinarias</t>
  </si>
  <si>
    <t>Ajuste de dilución</t>
  </si>
  <si>
    <t>Dilución de Utilidad neta</t>
  </si>
  <si>
    <t>Dilución de promedio ponderado de acciones</t>
  </si>
  <si>
    <t>Dilución de las ganancias por acción excluyendo partidas extraordinarias</t>
  </si>
  <si>
    <t>Dividendo por acción - Acciones Comunes distribución primaria</t>
  </si>
  <si>
    <t>Dilución de las ganancias por acción básicas</t>
  </si>
  <si>
    <t>Rotación de cxc</t>
  </si>
  <si>
    <t>Rotación de proveedores</t>
  </si>
  <si>
    <t xml:space="preserve">Ciclo de efectivo </t>
  </si>
  <si>
    <t xml:space="preserve">Razón de endeudamiento </t>
  </si>
  <si>
    <t>% EBITDA</t>
  </si>
  <si>
    <t xml:space="preserve">CAPM </t>
  </si>
  <si>
    <t>Periodo de cobranza - Periodo de proveedores</t>
  </si>
  <si>
    <t xml:space="preserve"> COMPORTAMIENTO AÑO 2020</t>
  </si>
  <si>
    <t xml:space="preserve">SECTOR </t>
  </si>
  <si>
    <t>R.Cte.</t>
  </si>
  <si>
    <t>Ciclo Efe.</t>
  </si>
  <si>
    <t>R. End.</t>
  </si>
  <si>
    <t>M.U.B.</t>
  </si>
  <si>
    <t>Rent./vtas</t>
  </si>
  <si>
    <t>EBITDA%</t>
  </si>
  <si>
    <t>Otros</t>
  </si>
  <si>
    <t xml:space="preserve">Margen bruto </t>
  </si>
  <si>
    <t>Margen Operacional</t>
  </si>
  <si>
    <t xml:space="preserve">Margen neto </t>
  </si>
  <si>
    <t>Margenes de Utilidad</t>
  </si>
  <si>
    <t>sin estrategia</t>
  </si>
  <si>
    <t>estrategia #1</t>
  </si>
  <si>
    <t>estrategia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</si>
</sst>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 #,##0_-;\-&quot;$&quot;\ * #,##0_-;_-&quot;$&quot;\ * &quot;-&quot;_-;_-@_-"/>
    <numFmt numFmtId="41" formatCode="_-* #,##0_-;\-* #,##0_-;_-* &quot;-&quot;_-;_-@_-"/>
    <numFmt numFmtId="44" formatCode="_-&quot;$&quot;\ * #,##0.00_-;\-&quot;$&quot;\ * #,##0.00_-;_-&quot;$&quot;\ * &quot;-&quot;??_-;_-@_-"/>
    <numFmt numFmtId="164" formatCode="_(&quot;$&quot;\ * #,##0.00_);_(&quot;$&quot;\ * \(#,##0.00\);_(&quot;$&quot;\ * &quot;-&quot;??_);_(@_)"/>
    <numFmt numFmtId="165" formatCode="_(* #,##0.00_);_(* \(#,##0.00\);_(* &quot;-&quot;??_);_(@_)"/>
    <numFmt numFmtId="166" formatCode="#,##0,,"/>
    <numFmt numFmtId="167" formatCode="#,##0,"/>
    <numFmt numFmtId="168" formatCode="0.0%"/>
    <numFmt numFmtId="169" formatCode="_-&quot;$&quot;\ * #,##0_-;\-&quot;$&quot;\ * #,##0_-;_-&quot;$&quot;\ * &quot;-&quot;??_-;_-@_-"/>
    <numFmt numFmtId="170" formatCode="_(&quot;$&quot;\ * #,##0_);_(&quot;$&quot;\ * \(#,##0\);_(&quot;$&quot;\ * &quot;-&quot;??_);_(@_)"/>
  </numFmts>
  <fonts count="72">
    <font>
      <sz val="11"/>
      <color theme="1"/>
      <name val="Calibri"/>
      <family val="2"/>
      <scheme val="minor"/>
    </font>
    <font>
      <sz val="11"/>
      <color theme="1"/>
      <name val="Arial Rounded MT Bold"/>
      <family val="2"/>
    </font>
    <font>
      <sz val="11"/>
      <color theme="1"/>
      <name val="Calibri"/>
      <family val="2"/>
      <scheme val="minor"/>
    </font>
    <font>
      <b/>
      <sz val="11"/>
      <color theme="0"/>
      <name val="Calibri"/>
      <family val="2"/>
      <scheme val="minor"/>
    </font>
    <font>
      <sz val="11"/>
      <color theme="1"/>
      <name val="Arial Unicode MS"/>
      <family val="2"/>
    </font>
    <font>
      <sz val="16"/>
      <color theme="1"/>
      <name val="Arial Rounded MT Bold"/>
      <family val="2"/>
    </font>
    <font>
      <sz val="10"/>
      <color theme="1"/>
      <name val="Calibri Light"/>
      <family val="2"/>
      <scheme val="major"/>
    </font>
    <font>
      <b/>
      <sz val="22"/>
      <color theme="1"/>
      <name val="Calibri"/>
      <family val="2"/>
      <scheme val="minor"/>
    </font>
    <font>
      <b/>
      <sz val="11"/>
      <name val="Calibri"/>
      <family val="2"/>
      <scheme val="minor"/>
    </font>
    <font>
      <b/>
      <sz val="11"/>
      <color theme="1"/>
      <name val="Arial Unicode MS"/>
      <family val="2"/>
    </font>
    <font>
      <b/>
      <sz val="11"/>
      <color indexed="8"/>
      <name val="Arial Unicode MS"/>
      <family val="2"/>
    </font>
    <font>
      <sz val="11"/>
      <color indexed="8"/>
      <name val="Arial Unicode MS"/>
      <family val="2"/>
    </font>
    <font>
      <b/>
      <sz val="11"/>
      <color theme="1"/>
      <name val="Calibri Light"/>
      <family val="2"/>
      <scheme val="major"/>
    </font>
    <font>
      <b/>
      <sz val="10"/>
      <color theme="1"/>
      <name val="Open Sans"/>
      <family val="2"/>
    </font>
    <font>
      <sz val="10"/>
      <color theme="1"/>
      <name val="Open Sans"/>
      <family val="2"/>
    </font>
    <font>
      <sz val="10"/>
      <color theme="1"/>
      <name val="Calibri"/>
      <family val="2"/>
      <scheme val="minor"/>
    </font>
    <font>
      <sz val="8"/>
      <color theme="1"/>
      <name val="Open Sans"/>
      <family val="2"/>
    </font>
    <font>
      <b/>
      <sz val="8"/>
      <color theme="1"/>
      <name val="Open Sans"/>
      <family val="2"/>
    </font>
    <font>
      <sz val="8"/>
      <color theme="1"/>
      <name val="Calibri"/>
      <family val="2"/>
      <scheme val="minor"/>
    </font>
    <font>
      <sz val="8"/>
      <color rgb="FF000000"/>
      <name val="Open Sans"/>
      <family val="2"/>
    </font>
    <font>
      <b/>
      <sz val="8"/>
      <color rgb="FF000000"/>
      <name val="Open Sans"/>
      <family val="2"/>
    </font>
    <font>
      <sz val="8"/>
      <color theme="3" tint="0.39997558519241921"/>
      <name val="Open Sans"/>
      <family val="2"/>
    </font>
    <font>
      <b/>
      <sz val="8"/>
      <color theme="3" tint="0.39997558519241921"/>
      <name val="Open Sans"/>
      <family val="2"/>
    </font>
    <font>
      <b/>
      <sz val="8"/>
      <color rgb="FFFF0000"/>
      <name val="Open Sans"/>
      <family val="2"/>
    </font>
    <font>
      <sz val="8"/>
      <color theme="1"/>
      <name val="Calibri Light"/>
      <family val="2"/>
      <scheme val="major"/>
    </font>
    <font>
      <b/>
      <sz val="11"/>
      <color theme="1"/>
      <name val="Calibri"/>
      <family val="2"/>
      <scheme val="minor"/>
    </font>
    <font>
      <b/>
      <i/>
      <sz val="11"/>
      <color theme="1"/>
      <name val="Calibri"/>
      <family val="2"/>
      <scheme val="minor"/>
    </font>
    <font>
      <sz val="8"/>
      <color rgb="FFFF0000"/>
      <name val="Open Sans"/>
      <family val="2"/>
    </font>
    <font>
      <b/>
      <sz val="18"/>
      <color rgb="FF000000"/>
      <name val="Open Sans"/>
      <family val="2"/>
    </font>
    <font>
      <b/>
      <sz val="12"/>
      <color rgb="FF000000"/>
      <name val="Open Sans"/>
      <family val="2"/>
    </font>
    <font>
      <i/>
      <sz val="12"/>
      <color rgb="FF000000"/>
      <name val="Open Sans"/>
      <family val="2"/>
    </font>
    <font>
      <sz val="12"/>
      <color rgb="FF000000"/>
      <name val="Open Sans"/>
      <family val="2"/>
    </font>
    <font>
      <b/>
      <i/>
      <u/>
      <sz val="10"/>
      <name val="Open Sans"/>
      <family val="2"/>
    </font>
    <font>
      <u/>
      <sz val="12"/>
      <color rgb="FF000000"/>
      <name val="Open Sans"/>
      <family val="2"/>
    </font>
    <font>
      <b/>
      <i/>
      <sz val="10"/>
      <name val="Open Sans"/>
      <family val="2"/>
    </font>
    <font>
      <b/>
      <i/>
      <u/>
      <sz val="10"/>
      <color theme="1" tint="0.14999847407452621"/>
      <name val="Open Sans"/>
      <family val="2"/>
    </font>
    <font>
      <b/>
      <i/>
      <sz val="10"/>
      <color theme="1" tint="0.14999847407452621"/>
      <name val="Open Sans"/>
      <family val="2"/>
    </font>
    <font>
      <sz val="11"/>
      <name val="Arial"/>
      <family val="2"/>
    </font>
    <font>
      <b/>
      <sz val="12"/>
      <name val="Calibri Light"/>
      <family val="2"/>
      <scheme val="major"/>
    </font>
    <font>
      <sz val="10"/>
      <color rgb="FFFF0000"/>
      <name val="Open Sans"/>
      <family val="2"/>
    </font>
    <font>
      <b/>
      <sz val="10"/>
      <color theme="1"/>
      <name val="Arial Narrow"/>
      <family val="2"/>
    </font>
    <font>
      <sz val="10"/>
      <color theme="1"/>
      <name val="Arial Narrow"/>
      <family val="2"/>
    </font>
    <font>
      <sz val="10"/>
      <color rgb="FF000000"/>
      <name val="Times New Roman"/>
      <family val="1"/>
    </font>
    <font>
      <b/>
      <sz val="7"/>
      <name val="Arial Narrow"/>
      <family val="2"/>
    </font>
    <font>
      <sz val="10"/>
      <color rgb="FF000000"/>
      <name val="Arial Narrow"/>
      <family val="2"/>
    </font>
    <font>
      <sz val="8"/>
      <color theme="1"/>
      <name val="Arial Narrow"/>
      <family val="2"/>
    </font>
    <font>
      <b/>
      <sz val="7"/>
      <color rgb="FF000000"/>
      <name val="Arial Narrow"/>
      <family val="2"/>
    </font>
    <font>
      <sz val="11"/>
      <color theme="1"/>
      <name val="Arial Narrow"/>
      <family val="2"/>
    </font>
    <font>
      <sz val="8"/>
      <name val="Arial Narrow"/>
      <family val="2"/>
    </font>
    <font>
      <sz val="7"/>
      <name val="Arial Narrow"/>
      <family val="2"/>
    </font>
    <font>
      <sz val="7"/>
      <color rgb="FF000000"/>
      <name val="Arial Narrow"/>
      <family val="2"/>
    </font>
    <font>
      <b/>
      <sz val="8"/>
      <color theme="1"/>
      <name val="Arial Narrow"/>
      <family val="2"/>
    </font>
    <font>
      <b/>
      <sz val="8"/>
      <name val="Arial Narrow"/>
      <family val="2"/>
    </font>
    <font>
      <b/>
      <sz val="8"/>
      <color rgb="FFFF0000"/>
      <name val="Arial Narrow"/>
      <family val="2"/>
    </font>
    <font>
      <b/>
      <sz val="8"/>
      <name val="Tahoma"/>
      <family val="2"/>
    </font>
    <font>
      <u/>
      <sz val="7"/>
      <name val="Arial Narrow"/>
      <family val="2"/>
    </font>
    <font>
      <b/>
      <sz val="7"/>
      <color rgb="FF231F20"/>
      <name val="Arial Narrow"/>
      <family val="2"/>
    </font>
    <font>
      <sz val="10"/>
      <name val="Arial Narrow"/>
      <family val="2"/>
    </font>
    <font>
      <sz val="7"/>
      <color theme="1"/>
      <name val="Arial Narrow"/>
      <family val="2"/>
    </font>
    <font>
      <b/>
      <sz val="7"/>
      <color theme="1"/>
      <name val="Arial Narrow"/>
      <family val="2"/>
    </font>
    <font>
      <b/>
      <sz val="10"/>
      <name val="Arial Narrow"/>
      <family val="2"/>
    </font>
    <font>
      <b/>
      <sz val="7"/>
      <name val="Times New Roman"/>
      <family val="2"/>
      <charset val="204"/>
    </font>
    <font>
      <b/>
      <sz val="7"/>
      <name val="Tahoma"/>
      <family val="2"/>
    </font>
    <font>
      <b/>
      <sz val="7"/>
      <name val="Calibri"/>
      <family val="1"/>
    </font>
    <font>
      <sz val="9"/>
      <color theme="1"/>
      <name val="Arial Narrow"/>
      <family val="2"/>
    </font>
    <font>
      <b/>
      <sz val="9"/>
      <color rgb="FF333333"/>
      <name val="Arial Narrow"/>
      <family val="2"/>
    </font>
    <font>
      <sz val="9"/>
      <color rgb="FF333333"/>
      <name val="Arial Narrow"/>
      <family val="2"/>
    </font>
    <font>
      <b/>
      <sz val="9"/>
      <color theme="1"/>
      <name val="Arial Narrow"/>
      <family val="2"/>
    </font>
    <font>
      <sz val="9"/>
      <color rgb="FF808080"/>
      <name val="Arial Narrow"/>
      <family val="2"/>
    </font>
    <font>
      <sz val="12"/>
      <color theme="1"/>
      <name val="Open Sans"/>
      <family val="2"/>
    </font>
    <font>
      <b/>
      <sz val="12"/>
      <color theme="1"/>
      <name val="Open Sans"/>
      <family val="2"/>
    </font>
    <font>
      <sz val="12"/>
      <color theme="1"/>
      <name val="Calibri"/>
      <family val="2"/>
      <scheme val="minor"/>
    </font>
  </fonts>
  <fills count="27">
    <fill>
      <patternFill patternType="none"/>
    </fill>
    <fill>
      <patternFill patternType="gray125"/>
    </fill>
    <fill>
      <patternFill patternType="solid">
        <fgColor theme="0"/>
        <bgColor indexed="64"/>
      </patternFill>
    </fill>
    <fill>
      <patternFill patternType="solid">
        <fgColor theme="1" tint="0.14999847407452621"/>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rgb="FF00B0F0"/>
        <bgColor indexed="64"/>
      </patternFill>
    </fill>
    <fill>
      <patternFill patternType="solid">
        <fgColor rgb="FFFAD5AC"/>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rgb="FFFF0000"/>
        <bgColor indexed="64"/>
      </patternFill>
    </fill>
    <fill>
      <patternFill patternType="solid">
        <fgColor rgb="FF0070C0"/>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FC000"/>
        <bgColor indexed="64"/>
      </patternFill>
    </fill>
    <fill>
      <patternFill patternType="solid">
        <fgColor theme="1"/>
        <bgColor indexed="64"/>
      </patternFill>
    </fill>
    <fill>
      <patternFill patternType="solid">
        <fgColor rgb="FFD9D9D9"/>
      </patternFill>
    </fill>
    <fill>
      <patternFill patternType="solid">
        <fgColor rgb="FFDFE9F2"/>
        <bgColor indexed="64"/>
      </patternFill>
    </fill>
    <fill>
      <patternFill patternType="solid">
        <fgColor rgb="FFFFFFFF"/>
        <bgColor indexed="64"/>
      </patternFill>
    </fill>
    <fill>
      <patternFill patternType="solid">
        <fgColor rgb="FFEDF4FA"/>
        <bgColor indexed="64"/>
      </patternFill>
    </fill>
    <fill>
      <patternFill patternType="solid">
        <fgColor rgb="FFFFFF66"/>
        <bgColor indexed="64"/>
      </patternFill>
    </fill>
    <fill>
      <patternFill patternType="solid">
        <fgColor rgb="FFFFFF00"/>
        <bgColor indexed="64"/>
      </patternFill>
    </fill>
  </fills>
  <borders count="4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rgb="FF000000"/>
      </top>
      <bottom/>
      <diagonal/>
    </border>
    <border>
      <left/>
      <right/>
      <top/>
      <bottom style="thin">
        <color indexed="64"/>
      </bottom>
      <diagonal/>
    </border>
    <border>
      <left/>
      <right/>
      <top style="thin">
        <color indexed="64"/>
      </top>
      <bottom style="thin">
        <color indexed="64"/>
      </bottom>
      <diagonal/>
    </border>
    <border>
      <left style="medium">
        <color rgb="FFBABABA"/>
      </left>
      <right/>
      <top style="medium">
        <color rgb="FFBABABA"/>
      </top>
      <bottom/>
      <diagonal/>
    </border>
    <border>
      <left/>
      <right/>
      <top style="medium">
        <color rgb="FFBABABA"/>
      </top>
      <bottom/>
      <diagonal/>
    </border>
    <border>
      <left style="medium">
        <color rgb="FFBABABA"/>
      </left>
      <right/>
      <top/>
      <bottom/>
      <diagonal/>
    </border>
    <border>
      <left style="medium">
        <color rgb="FFBABABA"/>
      </left>
      <right/>
      <top style="thick">
        <color rgb="FFBABABA"/>
      </top>
      <bottom/>
      <diagonal/>
    </border>
    <border>
      <left/>
      <right/>
      <top style="thick">
        <color rgb="FFBABABA"/>
      </top>
      <bottom/>
      <diagonal/>
    </border>
    <border>
      <left/>
      <right style="medium">
        <color rgb="FFBABABA"/>
      </right>
      <top style="thick">
        <color rgb="FFBABABA"/>
      </top>
      <bottom/>
      <diagonal/>
    </border>
    <border>
      <left style="medium">
        <color rgb="FFBABABA"/>
      </left>
      <right/>
      <top style="medium">
        <color rgb="FF999999"/>
      </top>
      <bottom/>
      <diagonal/>
    </border>
    <border>
      <left/>
      <right/>
      <top style="medium">
        <color rgb="FF999999"/>
      </top>
      <bottom/>
      <diagonal/>
    </border>
    <border>
      <left style="medium">
        <color rgb="FFBABABA"/>
      </left>
      <right/>
      <top style="medium">
        <color rgb="FFDADADA"/>
      </top>
      <bottom/>
      <diagonal/>
    </border>
    <border>
      <left/>
      <right style="medium">
        <color rgb="FFBABABA"/>
      </right>
      <top style="medium">
        <color rgb="FF999999"/>
      </top>
      <bottom/>
      <diagonal/>
    </border>
    <border>
      <left style="medium">
        <color rgb="FFBABABA"/>
      </left>
      <right/>
      <top style="medium">
        <color rgb="FFDADADA"/>
      </top>
      <bottom style="medium">
        <color rgb="FFBABABA"/>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s>
  <cellStyleXfs count="10">
    <xf numFmtId="0" fontId="0" fillId="0" borderId="0"/>
    <xf numFmtId="9"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0" fontId="37" fillId="0" borderId="0"/>
    <xf numFmtId="165" fontId="2" fillId="0" borderId="0" applyFont="0" applyFill="0" applyBorder="0" applyAlignment="0" applyProtection="0"/>
    <xf numFmtId="0" fontId="42" fillId="0" borderId="0"/>
    <xf numFmtId="164" fontId="2" fillId="0" borderId="0" applyFont="0" applyFill="0" applyBorder="0" applyAlignment="0" applyProtection="0"/>
    <xf numFmtId="44" fontId="2" fillId="0" borderId="0" applyFont="0" applyFill="0" applyBorder="0" applyAlignment="0" applyProtection="0"/>
  </cellStyleXfs>
  <cellXfs count="551">
    <xf numFmtId="0" fontId="0" fillId="0" borderId="0" xfId="0"/>
    <xf numFmtId="0" fontId="1" fillId="0" borderId="0" xfId="0" applyFont="1"/>
    <xf numFmtId="0" fontId="4" fillId="0" borderId="0" xfId="0" applyFont="1"/>
    <xf numFmtId="0" fontId="1" fillId="0" borderId="0" xfId="0" applyFont="1" applyAlignment="1">
      <alignment wrapText="1"/>
    </xf>
    <xf numFmtId="0" fontId="4" fillId="0" borderId="2" xfId="0" applyFont="1" applyBorder="1" applyAlignment="1">
      <alignment vertical="center" wrapText="1"/>
    </xf>
    <xf numFmtId="0" fontId="4" fillId="0" borderId="3" xfId="0" applyFont="1" applyBorder="1" applyAlignment="1">
      <alignment vertical="center" wrapText="1"/>
    </xf>
    <xf numFmtId="0" fontId="1" fillId="0" borderId="3" xfId="0" applyFont="1" applyBorder="1" applyAlignment="1">
      <alignment wrapText="1"/>
    </xf>
    <xf numFmtId="0" fontId="0" fillId="2" borderId="0" xfId="0" applyFill="1"/>
    <xf numFmtId="0" fontId="4" fillId="0" borderId="0" xfId="0" applyFont="1" applyBorder="1"/>
    <xf numFmtId="0" fontId="3" fillId="4" borderId="8" xfId="0" applyFont="1" applyFill="1" applyBorder="1" applyAlignment="1">
      <alignment horizontal="center"/>
    </xf>
    <xf numFmtId="0" fontId="3" fillId="4" borderId="9" xfId="0" applyFont="1" applyFill="1" applyBorder="1" applyAlignment="1">
      <alignment horizontal="center"/>
    </xf>
    <xf numFmtId="0" fontId="8" fillId="5" borderId="9" xfId="0" applyFont="1" applyFill="1" applyBorder="1" applyAlignment="1">
      <alignment horizontal="center"/>
    </xf>
    <xf numFmtId="0" fontId="9" fillId="0" borderId="0" xfId="0" applyFont="1" applyAlignment="1">
      <alignment horizontal="right"/>
    </xf>
    <xf numFmtId="0" fontId="4" fillId="0" borderId="10" xfId="0" applyFont="1" applyBorder="1"/>
    <xf numFmtId="10" fontId="6" fillId="2" borderId="11" xfId="1" applyNumberFormat="1" applyFont="1" applyFill="1" applyBorder="1"/>
    <xf numFmtId="10" fontId="6" fillId="2" borderId="12" xfId="1" applyNumberFormat="1" applyFont="1" applyFill="1" applyBorder="1"/>
    <xf numFmtId="0" fontId="4" fillId="0" borderId="13" xfId="0" applyFont="1" applyBorder="1"/>
    <xf numFmtId="10" fontId="6" fillId="2" borderId="14" xfId="1" applyNumberFormat="1" applyFont="1" applyFill="1" applyBorder="1"/>
    <xf numFmtId="10" fontId="6" fillId="2" borderId="15" xfId="1" applyNumberFormat="1" applyFont="1" applyFill="1" applyBorder="1"/>
    <xf numFmtId="3" fontId="6" fillId="2" borderId="14" xfId="1" applyNumberFormat="1" applyFont="1" applyFill="1" applyBorder="1"/>
    <xf numFmtId="3" fontId="6" fillId="2" borderId="15" xfId="1" applyNumberFormat="1" applyFont="1" applyFill="1" applyBorder="1"/>
    <xf numFmtId="0" fontId="4" fillId="0" borderId="16" xfId="0" applyFont="1" applyBorder="1"/>
    <xf numFmtId="10" fontId="6" fillId="2" borderId="17" xfId="1" applyNumberFormat="1" applyFont="1" applyFill="1" applyBorder="1"/>
    <xf numFmtId="10" fontId="6" fillId="2" borderId="18" xfId="1" applyNumberFormat="1" applyFont="1" applyFill="1" applyBorder="1"/>
    <xf numFmtId="0" fontId="4" fillId="6" borderId="0" xfId="0" applyFont="1" applyFill="1"/>
    <xf numFmtId="0" fontId="4" fillId="0" borderId="0" xfId="0" applyFont="1" applyBorder="1" applyAlignment="1">
      <alignment horizontal="left" vertical="center" wrapText="1"/>
    </xf>
    <xf numFmtId="0" fontId="12" fillId="2" borderId="0" xfId="0" applyFont="1" applyFill="1" applyAlignment="1">
      <alignment horizontal="left"/>
    </xf>
    <xf numFmtId="0" fontId="14" fillId="2" borderId="0" xfId="0" applyFont="1" applyFill="1"/>
    <xf numFmtId="0" fontId="13" fillId="2" borderId="0" xfId="0" applyFont="1" applyFill="1"/>
    <xf numFmtId="0" fontId="14" fillId="0" borderId="0" xfId="0" applyFont="1"/>
    <xf numFmtId="0" fontId="15" fillId="2" borderId="0" xfId="0" applyFont="1" applyFill="1"/>
    <xf numFmtId="0" fontId="17" fillId="13" borderId="28" xfId="0" applyFont="1" applyFill="1" applyBorder="1" applyAlignment="1">
      <alignment horizontal="center"/>
    </xf>
    <xf numFmtId="0" fontId="16" fillId="10" borderId="24" xfId="0" applyFont="1" applyFill="1" applyBorder="1"/>
    <xf numFmtId="0" fontId="16" fillId="0" borderId="22" xfId="0" applyFont="1" applyFill="1" applyBorder="1"/>
    <xf numFmtId="0" fontId="16" fillId="10" borderId="19" xfId="0" applyFont="1" applyFill="1" applyBorder="1"/>
    <xf numFmtId="0" fontId="16" fillId="10" borderId="2" xfId="0" applyFont="1" applyFill="1" applyBorder="1"/>
    <xf numFmtId="0" fontId="16" fillId="10" borderId="3" xfId="0" applyFont="1" applyFill="1" applyBorder="1"/>
    <xf numFmtId="0" fontId="16" fillId="2" borderId="0" xfId="0" applyFont="1" applyFill="1"/>
    <xf numFmtId="0" fontId="18" fillId="2" borderId="0" xfId="0" applyFont="1" applyFill="1"/>
    <xf numFmtId="0" fontId="19" fillId="8" borderId="27" xfId="0" applyFont="1" applyFill="1" applyBorder="1" applyAlignment="1">
      <alignment vertical="center"/>
    </xf>
    <xf numFmtId="0" fontId="20" fillId="8" borderId="1" xfId="0" applyFont="1" applyFill="1" applyBorder="1" applyAlignment="1">
      <alignment horizontal="center" vertical="center"/>
    </xf>
    <xf numFmtId="0" fontId="17" fillId="2" borderId="19" xfId="0" applyFont="1" applyFill="1" applyBorder="1" applyAlignment="1">
      <alignment horizontal="left"/>
    </xf>
    <xf numFmtId="0" fontId="17" fillId="2" borderId="24" xfId="0" applyFont="1" applyFill="1" applyBorder="1"/>
    <xf numFmtId="0" fontId="17" fillId="2" borderId="0" xfId="0" applyFont="1" applyFill="1"/>
    <xf numFmtId="3" fontId="17" fillId="2" borderId="0" xfId="0" applyNumberFormat="1" applyFont="1" applyFill="1"/>
    <xf numFmtId="0" fontId="16" fillId="2" borderId="1" xfId="0" applyFont="1" applyFill="1" applyBorder="1"/>
    <xf numFmtId="166" fontId="16" fillId="2" borderId="1" xfId="3" applyNumberFormat="1" applyFont="1" applyFill="1" applyBorder="1" applyAlignment="1">
      <alignment horizontal="center"/>
    </xf>
    <xf numFmtId="9" fontId="21" fillId="2" borderId="1" xfId="1" applyFont="1" applyFill="1" applyBorder="1" applyAlignment="1">
      <alignment horizontal="center"/>
    </xf>
    <xf numFmtId="166" fontId="16" fillId="0" borderId="1" xfId="3" applyNumberFormat="1" applyFont="1" applyBorder="1" applyAlignment="1">
      <alignment horizontal="center"/>
    </xf>
    <xf numFmtId="166" fontId="19" fillId="8" borderId="27" xfId="3" applyNumberFormat="1" applyFont="1" applyFill="1" applyBorder="1" applyAlignment="1">
      <alignment horizontal="center" vertical="center"/>
    </xf>
    <xf numFmtId="9" fontId="21" fillId="8" borderId="27" xfId="0" applyNumberFormat="1" applyFont="1" applyFill="1" applyBorder="1" applyAlignment="1">
      <alignment horizontal="center" vertical="center"/>
    </xf>
    <xf numFmtId="0" fontId="17" fillId="2" borderId="1" xfId="0" applyFont="1" applyFill="1" applyBorder="1"/>
    <xf numFmtId="166" fontId="16" fillId="2" borderId="0" xfId="3" applyNumberFormat="1" applyFont="1" applyFill="1" applyAlignment="1">
      <alignment horizontal="center"/>
    </xf>
    <xf numFmtId="0" fontId="21" fillId="2" borderId="0" xfId="0" applyFont="1" applyFill="1" applyAlignment="1">
      <alignment horizontal="center"/>
    </xf>
    <xf numFmtId="0" fontId="17" fillId="2" borderId="19" xfId="0" applyFont="1" applyFill="1" applyBorder="1"/>
    <xf numFmtId="166" fontId="17" fillId="2" borderId="4" xfId="0" applyNumberFormat="1" applyFont="1" applyFill="1" applyBorder="1" applyAlignment="1">
      <alignment horizontal="center"/>
    </xf>
    <xf numFmtId="0" fontId="17" fillId="2" borderId="4" xfId="0" applyFont="1" applyFill="1" applyBorder="1" applyAlignment="1">
      <alignment horizontal="center"/>
    </xf>
    <xf numFmtId="166" fontId="17" fillId="2" borderId="4" xfId="3" applyNumberFormat="1" applyFont="1" applyFill="1" applyBorder="1" applyAlignment="1">
      <alignment horizontal="center"/>
    </xf>
    <xf numFmtId="0" fontId="16" fillId="0" borderId="1" xfId="0" applyFont="1" applyBorder="1"/>
    <xf numFmtId="0" fontId="19" fillId="8" borderId="1" xfId="0" applyFont="1" applyFill="1" applyBorder="1" applyAlignment="1">
      <alignment vertical="center"/>
    </xf>
    <xf numFmtId="0" fontId="16" fillId="0" borderId="0" xfId="0" applyFont="1"/>
    <xf numFmtId="0" fontId="20" fillId="9" borderId="1" xfId="0" applyFont="1" applyFill="1" applyBorder="1" applyAlignment="1">
      <alignment vertical="center"/>
    </xf>
    <xf numFmtId="166" fontId="16" fillId="2" borderId="0" xfId="0" applyNumberFormat="1" applyFont="1" applyFill="1"/>
    <xf numFmtId="4" fontId="16" fillId="2" borderId="0" xfId="0" applyNumberFormat="1" applyFont="1" applyFill="1"/>
    <xf numFmtId="0" fontId="16" fillId="2" borderId="0" xfId="0" applyFont="1" applyFill="1" applyAlignment="1">
      <alignment horizontal="center"/>
    </xf>
    <xf numFmtId="0" fontId="16" fillId="2" borderId="4" xfId="0" applyFont="1" applyFill="1" applyBorder="1"/>
    <xf numFmtId="0" fontId="24" fillId="2" borderId="0" xfId="0" applyFont="1" applyFill="1"/>
    <xf numFmtId="0" fontId="16" fillId="2" borderId="20" xfId="0" applyFont="1" applyFill="1" applyBorder="1" applyAlignment="1">
      <alignment horizontal="center"/>
    </xf>
    <xf numFmtId="0" fontId="16" fillId="2" borderId="21" xfId="0" applyFont="1" applyFill="1" applyBorder="1" applyAlignment="1">
      <alignment horizontal="center"/>
    </xf>
    <xf numFmtId="0" fontId="17" fillId="2" borderId="25" xfId="0" applyFont="1" applyFill="1" applyBorder="1" applyAlignment="1">
      <alignment horizontal="center"/>
    </xf>
    <xf numFmtId="166" fontId="17" fillId="2" borderId="0" xfId="0" applyNumberFormat="1" applyFont="1" applyFill="1" applyAlignment="1">
      <alignment horizontal="center"/>
    </xf>
    <xf numFmtId="41" fontId="17" fillId="2" borderId="0" xfId="0" applyNumberFormat="1" applyFont="1" applyFill="1" applyAlignment="1">
      <alignment horizontal="center"/>
    </xf>
    <xf numFmtId="4" fontId="17" fillId="2" borderId="0" xfId="0" applyNumberFormat="1" applyFont="1" applyFill="1" applyAlignment="1">
      <alignment horizontal="center"/>
    </xf>
    <xf numFmtId="166" fontId="16" fillId="2" borderId="20" xfId="0" applyNumberFormat="1" applyFont="1" applyFill="1" applyBorder="1" applyAlignment="1">
      <alignment horizontal="center"/>
    </xf>
    <xf numFmtId="0" fontId="16" fillId="2" borderId="25" xfId="0" applyFont="1" applyFill="1" applyBorder="1" applyAlignment="1">
      <alignment horizontal="center"/>
    </xf>
    <xf numFmtId="9" fontId="21" fillId="0" borderId="1" xfId="1" applyFont="1" applyBorder="1" applyAlignment="1">
      <alignment horizontal="center"/>
    </xf>
    <xf numFmtId="166" fontId="19" fillId="8" borderId="1" xfId="3" applyNumberFormat="1" applyFont="1" applyFill="1" applyBorder="1" applyAlignment="1">
      <alignment horizontal="center" vertical="center"/>
    </xf>
    <xf numFmtId="9" fontId="21" fillId="8" borderId="1" xfId="1" applyFont="1" applyFill="1" applyBorder="1" applyAlignment="1">
      <alignment horizontal="center" vertical="center"/>
    </xf>
    <xf numFmtId="4" fontId="16" fillId="2" borderId="1" xfId="0" applyNumberFormat="1" applyFont="1" applyFill="1" applyBorder="1" applyAlignment="1">
      <alignment horizontal="center"/>
    </xf>
    <xf numFmtId="0" fontId="16" fillId="2" borderId="1" xfId="0" applyFont="1" applyFill="1" applyBorder="1" applyAlignment="1">
      <alignment horizontal="center"/>
    </xf>
    <xf numFmtId="166" fontId="17" fillId="9" borderId="1" xfId="3" applyNumberFormat="1" applyFont="1" applyFill="1" applyBorder="1" applyAlignment="1">
      <alignment horizontal="center"/>
    </xf>
    <xf numFmtId="9" fontId="22" fillId="9" borderId="1" xfId="0" applyNumberFormat="1" applyFont="1" applyFill="1" applyBorder="1" applyAlignment="1">
      <alignment horizontal="center"/>
    </xf>
    <xf numFmtId="166" fontId="16" fillId="2" borderId="0" xfId="0" applyNumberFormat="1" applyFont="1" applyFill="1" applyAlignment="1">
      <alignment horizontal="center"/>
    </xf>
    <xf numFmtId="4" fontId="16" fillId="2" borderId="0" xfId="0" applyNumberFormat="1" applyFont="1" applyFill="1" applyAlignment="1">
      <alignment horizontal="center"/>
    </xf>
    <xf numFmtId="41" fontId="17" fillId="9" borderId="1" xfId="0" applyNumberFormat="1" applyFont="1" applyFill="1" applyBorder="1" applyAlignment="1">
      <alignment horizontal="center"/>
    </xf>
    <xf numFmtId="4" fontId="17" fillId="9" borderId="1" xfId="0" applyNumberFormat="1" applyFont="1" applyFill="1" applyBorder="1" applyAlignment="1">
      <alignment horizontal="center"/>
    </xf>
    <xf numFmtId="0" fontId="16" fillId="9" borderId="1" xfId="0" applyFont="1" applyFill="1" applyBorder="1" applyAlignment="1">
      <alignment horizontal="center"/>
    </xf>
    <xf numFmtId="0" fontId="26" fillId="14" borderId="10" xfId="0" applyFont="1" applyFill="1" applyBorder="1" applyAlignment="1">
      <alignment horizontal="center" vertical="center" wrapText="1"/>
    </xf>
    <xf numFmtId="0" fontId="26" fillId="15" borderId="12" xfId="0" applyFont="1" applyFill="1" applyBorder="1" applyAlignment="1">
      <alignment horizontal="center" vertical="center" wrapText="1"/>
    </xf>
    <xf numFmtId="0" fontId="0" fillId="0" borderId="13" xfId="0" applyBorder="1" applyAlignment="1">
      <alignment wrapText="1"/>
    </xf>
    <xf numFmtId="0" fontId="0" fillId="0" borderId="15" xfId="0" applyBorder="1" applyAlignment="1">
      <alignment vertical="center"/>
    </xf>
    <xf numFmtId="0" fontId="0" fillId="0" borderId="15" xfId="0" applyBorder="1" applyAlignment="1">
      <alignment vertical="center" wrapText="1"/>
    </xf>
    <xf numFmtId="0" fontId="0" fillId="0" borderId="0" xfId="0" applyAlignment="1">
      <alignment wrapText="1"/>
    </xf>
    <xf numFmtId="0" fontId="0" fillId="0" borderId="13" xfId="0" applyBorder="1" applyAlignment="1">
      <alignment vertical="center" wrapText="1"/>
    </xf>
    <xf numFmtId="0" fontId="0" fillId="0" borderId="18" xfId="0" applyBorder="1" applyAlignment="1">
      <alignment vertical="center" wrapText="1"/>
    </xf>
    <xf numFmtId="0" fontId="0" fillId="0" borderId="16" xfId="0" applyBorder="1" applyAlignment="1">
      <alignment wrapText="1"/>
    </xf>
    <xf numFmtId="0" fontId="0" fillId="0" borderId="18" xfId="0" applyBorder="1" applyAlignment="1">
      <alignment vertical="center"/>
    </xf>
    <xf numFmtId="0" fontId="26" fillId="14" borderId="29" xfId="0" applyFont="1" applyFill="1" applyBorder="1" applyAlignment="1">
      <alignment horizontal="center" vertical="center" wrapText="1"/>
    </xf>
    <xf numFmtId="0" fontId="26" fillId="15" borderId="30" xfId="0" applyFont="1" applyFill="1" applyBorder="1" applyAlignment="1">
      <alignment horizontal="center" vertical="center" wrapText="1"/>
    </xf>
    <xf numFmtId="0" fontId="0" fillId="0" borderId="10" xfId="0" applyBorder="1" applyAlignment="1">
      <alignment wrapText="1"/>
    </xf>
    <xf numFmtId="0" fontId="0" fillId="0" borderId="12" xfId="0" applyBorder="1" applyAlignment="1">
      <alignment vertical="center" wrapText="1"/>
    </xf>
    <xf numFmtId="0" fontId="17" fillId="2" borderId="27" xfId="0" applyFont="1" applyFill="1" applyBorder="1"/>
    <xf numFmtId="0" fontId="17" fillId="2" borderId="5" xfId="0" applyFont="1" applyFill="1" applyBorder="1" applyAlignment="1">
      <alignment horizontal="center"/>
    </xf>
    <xf numFmtId="0" fontId="17" fillId="2" borderId="26" xfId="0" applyFont="1" applyFill="1" applyBorder="1" applyAlignment="1">
      <alignment horizontal="center"/>
    </xf>
    <xf numFmtId="0" fontId="16" fillId="2" borderId="20" xfId="0" applyFont="1" applyFill="1" applyBorder="1"/>
    <xf numFmtId="166" fontId="16" fillId="2" borderId="1" xfId="0" applyNumberFormat="1" applyFont="1" applyFill="1" applyBorder="1"/>
    <xf numFmtId="0" fontId="17" fillId="7" borderId="1" xfId="0" applyFont="1" applyFill="1" applyBorder="1"/>
    <xf numFmtId="166" fontId="17" fillId="7" borderId="1" xfId="0" applyNumberFormat="1" applyFont="1" applyFill="1" applyBorder="1"/>
    <xf numFmtId="166" fontId="16" fillId="0" borderId="1" xfId="0" applyNumberFormat="1" applyFont="1" applyBorder="1"/>
    <xf numFmtId="166" fontId="17" fillId="2" borderId="1" xfId="0" applyNumberFormat="1" applyFont="1" applyFill="1" applyBorder="1"/>
    <xf numFmtId="166" fontId="16" fillId="7" borderId="1" xfId="0" applyNumberFormat="1" applyFont="1" applyFill="1" applyBorder="1"/>
    <xf numFmtId="166" fontId="17" fillId="9" borderId="5" xfId="3" applyNumberFormat="1" applyFont="1" applyFill="1" applyBorder="1" applyAlignment="1">
      <alignment horizontal="center"/>
    </xf>
    <xf numFmtId="166" fontId="17" fillId="9" borderId="26" xfId="3" applyNumberFormat="1" applyFont="1" applyFill="1" applyBorder="1" applyAlignment="1">
      <alignment horizontal="center"/>
    </xf>
    <xf numFmtId="166" fontId="16" fillId="2" borderId="21" xfId="0" applyNumberFormat="1" applyFont="1" applyFill="1" applyBorder="1" applyAlignment="1">
      <alignment horizontal="center"/>
    </xf>
    <xf numFmtId="166" fontId="17" fillId="2" borderId="25" xfId="0" applyNumberFormat="1" applyFont="1" applyFill="1" applyBorder="1" applyAlignment="1">
      <alignment horizontal="center"/>
    </xf>
    <xf numFmtId="166" fontId="23" fillId="7" borderId="1" xfId="0" applyNumberFormat="1" applyFont="1" applyFill="1" applyBorder="1"/>
    <xf numFmtId="9" fontId="21" fillId="8" borderId="1" xfId="0" applyNumberFormat="1" applyFont="1" applyFill="1" applyBorder="1" applyAlignment="1">
      <alignment horizontal="center" vertical="center"/>
    </xf>
    <xf numFmtId="9" fontId="22" fillId="9" borderId="5" xfId="0" applyNumberFormat="1" applyFont="1" applyFill="1" applyBorder="1" applyAlignment="1">
      <alignment horizontal="center"/>
    </xf>
    <xf numFmtId="9" fontId="22" fillId="9" borderId="26" xfId="0" applyNumberFormat="1" applyFont="1" applyFill="1" applyBorder="1" applyAlignment="1">
      <alignment horizontal="center"/>
    </xf>
    <xf numFmtId="9" fontId="16" fillId="2" borderId="1" xfId="1" applyFont="1" applyFill="1" applyBorder="1"/>
    <xf numFmtId="9" fontId="17" fillId="7" borderId="1" xfId="1" applyFont="1" applyFill="1" applyBorder="1"/>
    <xf numFmtId="9" fontId="17" fillId="2" borderId="26" xfId="1" applyFont="1" applyFill="1" applyBorder="1" applyAlignment="1">
      <alignment horizontal="center"/>
    </xf>
    <xf numFmtId="166" fontId="16" fillId="2" borderId="1" xfId="0" applyNumberFormat="1" applyFont="1" applyFill="1" applyBorder="1" applyAlignment="1">
      <alignment horizontal="center"/>
    </xf>
    <xf numFmtId="9" fontId="21" fillId="7" borderId="1" xfId="1" applyFont="1" applyFill="1" applyBorder="1" applyAlignment="1">
      <alignment horizontal="center"/>
    </xf>
    <xf numFmtId="166" fontId="16" fillId="0" borderId="1" xfId="0" applyNumberFormat="1" applyFont="1" applyBorder="1" applyAlignment="1">
      <alignment horizontal="center"/>
    </xf>
    <xf numFmtId="166" fontId="16" fillId="7" borderId="1" xfId="0" applyNumberFormat="1" applyFont="1" applyFill="1" applyBorder="1" applyAlignment="1">
      <alignment horizontal="center"/>
    </xf>
    <xf numFmtId="166" fontId="27" fillId="7" borderId="1" xfId="0" applyNumberFormat="1" applyFont="1" applyFill="1" applyBorder="1" applyAlignment="1">
      <alignment horizontal="center"/>
    </xf>
    <xf numFmtId="166" fontId="16" fillId="0" borderId="1" xfId="0" applyNumberFormat="1" applyFont="1" applyFill="1" applyBorder="1" applyAlignment="1">
      <alignment horizontal="center"/>
    </xf>
    <xf numFmtId="9" fontId="21" fillId="0" borderId="1" xfId="1" applyFont="1" applyFill="1" applyBorder="1" applyAlignment="1">
      <alignment horizontal="center"/>
    </xf>
    <xf numFmtId="0" fontId="17" fillId="13" borderId="21" xfId="0" applyFont="1" applyFill="1" applyBorder="1" applyAlignment="1">
      <alignment horizontal="center"/>
    </xf>
    <xf numFmtId="0" fontId="16" fillId="10" borderId="22" xfId="0" applyFont="1" applyFill="1" applyBorder="1"/>
    <xf numFmtId="0" fontId="16" fillId="0" borderId="28" xfId="0" applyFont="1" applyFill="1" applyBorder="1"/>
    <xf numFmtId="0" fontId="16" fillId="0" borderId="2" xfId="0" applyFont="1" applyFill="1" applyBorder="1"/>
    <xf numFmtId="0" fontId="16" fillId="2" borderId="19" xfId="0" applyFont="1" applyFill="1" applyBorder="1"/>
    <xf numFmtId="0" fontId="16" fillId="0" borderId="24" xfId="0" applyFont="1" applyBorder="1"/>
    <xf numFmtId="3" fontId="16" fillId="10" borderId="19" xfId="0" applyNumberFormat="1" applyFont="1" applyFill="1" applyBorder="1" applyAlignment="1">
      <alignment horizontal="center"/>
    </xf>
    <xf numFmtId="9" fontId="16" fillId="10" borderId="21" xfId="0" applyNumberFormat="1" applyFont="1" applyFill="1" applyBorder="1" applyAlignment="1">
      <alignment horizontal="center"/>
    </xf>
    <xf numFmtId="3" fontId="16" fillId="0" borderId="22" xfId="0" applyNumberFormat="1" applyFont="1" applyFill="1" applyBorder="1" applyAlignment="1">
      <alignment horizontal="center"/>
    </xf>
    <xf numFmtId="9" fontId="16" fillId="0" borderId="23" xfId="0" applyNumberFormat="1" applyFont="1" applyFill="1" applyBorder="1" applyAlignment="1">
      <alignment horizontal="center"/>
    </xf>
    <xf numFmtId="10" fontId="16" fillId="0" borderId="23" xfId="0" applyNumberFormat="1" applyFont="1" applyFill="1" applyBorder="1" applyAlignment="1">
      <alignment horizontal="center"/>
    </xf>
    <xf numFmtId="9" fontId="16" fillId="2" borderId="23" xfId="0" applyNumberFormat="1" applyFont="1" applyFill="1" applyBorder="1" applyAlignment="1">
      <alignment horizontal="center"/>
    </xf>
    <xf numFmtId="3" fontId="16" fillId="10" borderId="24" xfId="0" applyNumberFormat="1" applyFont="1" applyFill="1" applyBorder="1" applyAlignment="1">
      <alignment horizontal="center"/>
    </xf>
    <xf numFmtId="9" fontId="16" fillId="10" borderId="25" xfId="0" applyNumberFormat="1" applyFont="1" applyFill="1" applyBorder="1" applyAlignment="1">
      <alignment horizontal="center"/>
    </xf>
    <xf numFmtId="10" fontId="16" fillId="10" borderId="25" xfId="0" applyNumberFormat="1" applyFont="1" applyFill="1" applyBorder="1" applyAlignment="1">
      <alignment horizontal="center"/>
    </xf>
    <xf numFmtId="3" fontId="16" fillId="2" borderId="19" xfId="0" applyNumberFormat="1" applyFont="1" applyFill="1" applyBorder="1" applyAlignment="1">
      <alignment horizontal="center"/>
    </xf>
    <xf numFmtId="10" fontId="16" fillId="2" borderId="21" xfId="0" applyNumberFormat="1" applyFont="1" applyFill="1" applyBorder="1" applyAlignment="1">
      <alignment horizontal="center"/>
    </xf>
    <xf numFmtId="3" fontId="16" fillId="10" borderId="22" xfId="0" applyNumberFormat="1" applyFont="1" applyFill="1" applyBorder="1" applyAlignment="1">
      <alignment horizontal="center"/>
    </xf>
    <xf numFmtId="10" fontId="16" fillId="10" borderId="23" xfId="0" applyNumberFormat="1" applyFont="1" applyFill="1" applyBorder="1" applyAlignment="1">
      <alignment horizontal="center"/>
    </xf>
    <xf numFmtId="3" fontId="16" fillId="2" borderId="24" xfId="0" applyNumberFormat="1" applyFont="1" applyFill="1" applyBorder="1" applyAlignment="1">
      <alignment horizontal="center"/>
    </xf>
    <xf numFmtId="10" fontId="16" fillId="2" borderId="25" xfId="0" applyNumberFormat="1" applyFont="1" applyFill="1" applyBorder="1" applyAlignment="1">
      <alignment horizontal="center"/>
    </xf>
    <xf numFmtId="9" fontId="16" fillId="2" borderId="21" xfId="0" applyNumberFormat="1" applyFont="1" applyFill="1" applyBorder="1" applyAlignment="1">
      <alignment horizontal="center"/>
    </xf>
    <xf numFmtId="9" fontId="16" fillId="10" borderId="23" xfId="0" applyNumberFormat="1" applyFont="1" applyFill="1" applyBorder="1" applyAlignment="1">
      <alignment horizontal="center"/>
    </xf>
    <xf numFmtId="9" fontId="16" fillId="2" borderId="25" xfId="0" applyNumberFormat="1" applyFont="1" applyFill="1" applyBorder="1" applyAlignment="1">
      <alignment horizontal="center"/>
    </xf>
    <xf numFmtId="3" fontId="16" fillId="0" borderId="19" xfId="0" applyNumberFormat="1" applyFont="1" applyFill="1" applyBorder="1" applyAlignment="1">
      <alignment horizontal="center"/>
    </xf>
    <xf numFmtId="10" fontId="16" fillId="0" borderId="21" xfId="0" applyNumberFormat="1" applyFont="1" applyFill="1" applyBorder="1" applyAlignment="1">
      <alignment horizontal="center"/>
    </xf>
    <xf numFmtId="9" fontId="19" fillId="8" borderId="1" xfId="1" applyFont="1" applyFill="1" applyBorder="1" applyAlignment="1">
      <alignment horizontal="center" vertical="center"/>
    </xf>
    <xf numFmtId="9" fontId="16" fillId="2" borderId="1" xfId="1" applyFont="1" applyFill="1" applyBorder="1" applyAlignment="1">
      <alignment horizontal="center"/>
    </xf>
    <xf numFmtId="9" fontId="16" fillId="9" borderId="1" xfId="1" applyFont="1" applyFill="1" applyBorder="1" applyAlignment="1">
      <alignment horizontal="center"/>
    </xf>
    <xf numFmtId="9" fontId="17" fillId="9" borderId="1" xfId="1" applyFont="1" applyFill="1" applyBorder="1" applyAlignment="1">
      <alignment horizontal="center"/>
    </xf>
    <xf numFmtId="9" fontId="16" fillId="8" borderId="1" xfId="1" applyFont="1" applyFill="1" applyBorder="1" applyAlignment="1">
      <alignment horizontal="center"/>
    </xf>
    <xf numFmtId="9" fontId="16" fillId="7" borderId="1" xfId="1" applyFont="1" applyFill="1" applyBorder="1" applyAlignment="1">
      <alignment horizontal="center"/>
    </xf>
    <xf numFmtId="0" fontId="16" fillId="2" borderId="21" xfId="0" applyFont="1" applyFill="1" applyBorder="1"/>
    <xf numFmtId="0" fontId="17" fillId="2" borderId="4" xfId="0" applyFont="1" applyFill="1" applyBorder="1"/>
    <xf numFmtId="0" fontId="17" fillId="2" borderId="25" xfId="0" applyFont="1" applyFill="1" applyBorder="1"/>
    <xf numFmtId="0" fontId="16" fillId="2" borderId="25" xfId="0" applyFont="1" applyFill="1" applyBorder="1"/>
    <xf numFmtId="0" fontId="16" fillId="2" borderId="5" xfId="0" applyFont="1" applyFill="1" applyBorder="1"/>
    <xf numFmtId="0" fontId="16" fillId="2" borderId="26" xfId="0" applyFont="1" applyFill="1" applyBorder="1"/>
    <xf numFmtId="0" fontId="17" fillId="2" borderId="27" xfId="0" applyFont="1" applyFill="1" applyBorder="1" applyAlignment="1">
      <alignment horizontal="center"/>
    </xf>
    <xf numFmtId="166" fontId="17" fillId="0" borderId="0" xfId="3" applyNumberFormat="1" applyFont="1" applyFill="1" applyBorder="1" applyAlignment="1">
      <alignment horizontal="center"/>
    </xf>
    <xf numFmtId="0" fontId="19" fillId="8" borderId="19" xfId="0" applyFont="1" applyFill="1" applyBorder="1" applyAlignment="1">
      <alignment vertical="center"/>
    </xf>
    <xf numFmtId="0" fontId="20" fillId="8" borderId="28" xfId="0" applyFont="1" applyFill="1" applyBorder="1" applyAlignment="1">
      <alignment horizontal="center" vertical="center"/>
    </xf>
    <xf numFmtId="0" fontId="20" fillId="0" borderId="22" xfId="0" applyFont="1" applyFill="1" applyBorder="1" applyAlignment="1">
      <alignment vertical="center"/>
    </xf>
    <xf numFmtId="166" fontId="17" fillId="0" borderId="23" xfId="3" applyNumberFormat="1" applyFont="1" applyFill="1" applyBorder="1" applyAlignment="1">
      <alignment horizontal="center"/>
    </xf>
    <xf numFmtId="0" fontId="20" fillId="0" borderId="24" xfId="0" applyFont="1" applyFill="1" applyBorder="1" applyAlignment="1">
      <alignment vertical="center"/>
    </xf>
    <xf numFmtId="166" fontId="17" fillId="0" borderId="4" xfId="3" applyNumberFormat="1" applyFont="1" applyFill="1" applyBorder="1" applyAlignment="1">
      <alignment horizontal="center"/>
    </xf>
    <xf numFmtId="166" fontId="17" fillId="0" borderId="25" xfId="3" applyNumberFormat="1" applyFont="1" applyFill="1" applyBorder="1" applyAlignment="1">
      <alignment horizontal="center"/>
    </xf>
    <xf numFmtId="0" fontId="20" fillId="10" borderId="22" xfId="0" applyFont="1" applyFill="1" applyBorder="1" applyAlignment="1">
      <alignment vertical="center"/>
    </xf>
    <xf numFmtId="166" fontId="17" fillId="10" borderId="0" xfId="3" applyNumberFormat="1" applyFont="1" applyFill="1" applyBorder="1" applyAlignment="1">
      <alignment horizontal="center"/>
    </xf>
    <xf numFmtId="166" fontId="17" fillId="10" borderId="23" xfId="3" applyNumberFormat="1" applyFont="1" applyFill="1" applyBorder="1" applyAlignment="1">
      <alignment horizontal="center"/>
    </xf>
    <xf numFmtId="0" fontId="20" fillId="10" borderId="24" xfId="0" applyFont="1" applyFill="1" applyBorder="1" applyAlignment="1">
      <alignment vertical="center"/>
    </xf>
    <xf numFmtId="166" fontId="17" fillId="10" borderId="4" xfId="3" applyNumberFormat="1" applyFont="1" applyFill="1" applyBorder="1" applyAlignment="1">
      <alignment horizontal="center"/>
    </xf>
    <xf numFmtId="166" fontId="17" fillId="10" borderId="25" xfId="3" applyNumberFormat="1" applyFont="1" applyFill="1" applyBorder="1" applyAlignment="1">
      <alignment horizontal="center"/>
    </xf>
    <xf numFmtId="0" fontId="29" fillId="16" borderId="1" xfId="0" applyFont="1" applyFill="1" applyBorder="1" applyAlignment="1">
      <alignment horizontal="center" vertical="center"/>
    </xf>
    <xf numFmtId="0" fontId="29" fillId="16" borderId="5" xfId="0" applyFont="1" applyFill="1" applyBorder="1" applyAlignment="1">
      <alignment horizontal="center" vertical="center"/>
    </xf>
    <xf numFmtId="0" fontId="29" fillId="16" borderId="28" xfId="0" applyFont="1" applyFill="1" applyBorder="1" applyAlignment="1">
      <alignment horizontal="center" vertical="center"/>
    </xf>
    <xf numFmtId="0" fontId="32" fillId="10" borderId="19" xfId="0" applyFont="1" applyFill="1" applyBorder="1" applyAlignment="1">
      <alignment horizontal="center"/>
    </xf>
    <xf numFmtId="3" fontId="33" fillId="10" borderId="28" xfId="0" applyNumberFormat="1" applyFont="1" applyFill="1" applyBorder="1" applyAlignment="1">
      <alignment horizontal="center" vertical="center"/>
    </xf>
    <xf numFmtId="0" fontId="34" fillId="10" borderId="22" xfId="0" applyFont="1" applyFill="1" applyBorder="1" applyAlignment="1">
      <alignment horizontal="center"/>
    </xf>
    <xf numFmtId="3" fontId="31" fillId="10" borderId="3" xfId="0" applyNumberFormat="1" applyFont="1" applyFill="1" applyBorder="1" applyAlignment="1">
      <alignment horizontal="center" vertical="center"/>
    </xf>
    <xf numFmtId="0" fontId="32" fillId="8" borderId="19" xfId="0" applyFont="1" applyFill="1" applyBorder="1" applyAlignment="1">
      <alignment horizontal="center"/>
    </xf>
    <xf numFmtId="3" fontId="33" fillId="8" borderId="28" xfId="0" applyNumberFormat="1" applyFont="1" applyFill="1" applyBorder="1" applyAlignment="1">
      <alignment horizontal="center" vertical="center"/>
    </xf>
    <xf numFmtId="0" fontId="34" fillId="8" borderId="22" xfId="0" applyFont="1" applyFill="1" applyBorder="1" applyAlignment="1">
      <alignment horizontal="center"/>
    </xf>
    <xf numFmtId="3" fontId="31" fillId="8" borderId="3" xfId="0" applyNumberFormat="1" applyFont="1" applyFill="1" applyBorder="1" applyAlignment="1">
      <alignment horizontal="center" vertical="center"/>
    </xf>
    <xf numFmtId="2" fontId="31" fillId="8" borderId="3" xfId="0" applyNumberFormat="1" applyFont="1" applyFill="1" applyBorder="1" applyAlignment="1">
      <alignment horizontal="center" vertical="center"/>
    </xf>
    <xf numFmtId="0" fontId="35" fillId="8" borderId="19" xfId="0" applyFont="1" applyFill="1" applyBorder="1" applyAlignment="1">
      <alignment horizontal="center"/>
    </xf>
    <xf numFmtId="0" fontId="36" fillId="8" borderId="24" xfId="0" applyFont="1" applyFill="1" applyBorder="1" applyAlignment="1">
      <alignment horizontal="center"/>
    </xf>
    <xf numFmtId="3" fontId="33" fillId="8" borderId="2" xfId="0" applyNumberFormat="1" applyFont="1" applyFill="1" applyBorder="1" applyAlignment="1">
      <alignment horizontal="center" vertical="center"/>
    </xf>
    <xf numFmtId="0" fontId="35" fillId="10" borderId="19" xfId="0" applyFont="1" applyFill="1" applyBorder="1" applyAlignment="1">
      <alignment horizontal="center"/>
    </xf>
    <xf numFmtId="0" fontId="36" fillId="10" borderId="24" xfId="0" applyFont="1" applyFill="1" applyBorder="1" applyAlignment="1">
      <alignment horizontal="center"/>
    </xf>
    <xf numFmtId="0" fontId="31" fillId="8" borderId="28" xfId="0" applyFont="1" applyFill="1" applyBorder="1" applyAlignment="1">
      <alignment vertical="center"/>
    </xf>
    <xf numFmtId="0" fontId="31" fillId="8" borderId="3" xfId="0" applyFont="1" applyFill="1" applyBorder="1" applyAlignment="1">
      <alignment vertical="center"/>
    </xf>
    <xf numFmtId="3" fontId="31" fillId="10" borderId="2" xfId="0" applyNumberFormat="1" applyFont="1" applyFill="1" applyBorder="1" applyAlignment="1">
      <alignment horizontal="center" vertical="center"/>
    </xf>
    <xf numFmtId="4" fontId="33" fillId="8" borderId="28" xfId="0" applyNumberFormat="1" applyFont="1" applyFill="1" applyBorder="1" applyAlignment="1">
      <alignment horizontal="center" vertical="center"/>
    </xf>
    <xf numFmtId="167" fontId="0" fillId="0" borderId="0" xfId="0" applyNumberFormat="1"/>
    <xf numFmtId="167" fontId="38" fillId="0" borderId="0" xfId="4" applyNumberFormat="1" applyFont="1" applyFill="1" applyBorder="1"/>
    <xf numFmtId="0" fontId="16" fillId="2" borderId="27" xfId="0" applyFont="1" applyFill="1" applyBorder="1"/>
    <xf numFmtId="0" fontId="14" fillId="2" borderId="1" xfId="0" applyFont="1" applyFill="1" applyBorder="1"/>
    <xf numFmtId="167" fontId="38" fillId="0" borderId="1" xfId="4" applyNumberFormat="1" applyFont="1" applyFill="1" applyBorder="1"/>
    <xf numFmtId="167" fontId="0" fillId="0" borderId="1" xfId="0" applyNumberFormat="1" applyBorder="1"/>
    <xf numFmtId="2" fontId="33" fillId="8" borderId="28" xfId="0" applyNumberFormat="1" applyFont="1" applyFill="1" applyBorder="1" applyAlignment="1">
      <alignment horizontal="center" vertical="center"/>
    </xf>
    <xf numFmtId="9" fontId="14" fillId="2" borderId="0" xfId="1" applyFont="1" applyFill="1"/>
    <xf numFmtId="9" fontId="14" fillId="7" borderId="1" xfId="1" applyFont="1" applyFill="1" applyBorder="1"/>
    <xf numFmtId="0" fontId="16" fillId="7" borderId="1" xfId="0" applyFont="1" applyFill="1" applyBorder="1"/>
    <xf numFmtId="0" fontId="16" fillId="17" borderId="1" xfId="0" applyFont="1" applyFill="1" applyBorder="1"/>
    <xf numFmtId="166" fontId="16" fillId="17" borderId="1" xfId="3" applyNumberFormat="1" applyFont="1" applyFill="1" applyBorder="1" applyAlignment="1">
      <alignment horizontal="center"/>
    </xf>
    <xf numFmtId="168" fontId="0" fillId="0" borderId="0" xfId="1" applyNumberFormat="1" applyFont="1"/>
    <xf numFmtId="10" fontId="14" fillId="2" borderId="0" xfId="1" applyNumberFormat="1" applyFont="1" applyFill="1"/>
    <xf numFmtId="0" fontId="0" fillId="0" borderId="0" xfId="0" applyFill="1"/>
    <xf numFmtId="10" fontId="39" fillId="2" borderId="0" xfId="1" applyNumberFormat="1" applyFont="1" applyFill="1"/>
    <xf numFmtId="9" fontId="14" fillId="2" borderId="0" xfId="0" applyNumberFormat="1" applyFont="1" applyFill="1"/>
    <xf numFmtId="166" fontId="14" fillId="7" borderId="1" xfId="0" applyNumberFormat="1" applyFont="1" applyFill="1" applyBorder="1"/>
    <xf numFmtId="0" fontId="29" fillId="16" borderId="26" xfId="0" applyFont="1" applyFill="1" applyBorder="1" applyAlignment="1">
      <alignment horizontal="center" vertical="center"/>
    </xf>
    <xf numFmtId="0" fontId="30" fillId="10" borderId="2" xfId="0" applyFont="1" applyFill="1" applyBorder="1" applyAlignment="1">
      <alignment horizontal="center" vertical="center"/>
    </xf>
    <xf numFmtId="10" fontId="31" fillId="8" borderId="3" xfId="1" applyNumberFormat="1" applyFont="1" applyFill="1" applyBorder="1" applyAlignment="1">
      <alignment horizontal="center" vertical="center"/>
    </xf>
    <xf numFmtId="0" fontId="29" fillId="16" borderId="26" xfId="0" applyFont="1" applyFill="1" applyBorder="1" applyAlignment="1">
      <alignment horizontal="center" vertical="center"/>
    </xf>
    <xf numFmtId="166" fontId="14" fillId="2" borderId="0" xfId="0" applyNumberFormat="1" applyFont="1" applyFill="1"/>
    <xf numFmtId="166" fontId="33" fillId="8" borderId="28" xfId="0" applyNumberFormat="1" applyFont="1" applyFill="1" applyBorder="1" applyAlignment="1">
      <alignment horizontal="center" vertical="center"/>
    </xf>
    <xf numFmtId="166" fontId="31" fillId="8" borderId="3" xfId="0" applyNumberFormat="1" applyFont="1" applyFill="1" applyBorder="1" applyAlignment="1">
      <alignment horizontal="center" vertical="center"/>
    </xf>
    <xf numFmtId="0" fontId="36" fillId="8" borderId="22" xfId="0" applyFont="1" applyFill="1" applyBorder="1" applyAlignment="1">
      <alignment horizontal="center"/>
    </xf>
    <xf numFmtId="3" fontId="31" fillId="8" borderId="2" xfId="0" applyNumberFormat="1" applyFont="1" applyFill="1" applyBorder="1" applyAlignment="1">
      <alignment horizontal="center" vertical="center"/>
    </xf>
    <xf numFmtId="0" fontId="31" fillId="8" borderId="2" xfId="0" applyFont="1" applyFill="1" applyBorder="1" applyAlignment="1">
      <alignment vertical="center"/>
    </xf>
    <xf numFmtId="0" fontId="29" fillId="8" borderId="28" xfId="0" applyFont="1" applyFill="1" applyBorder="1" applyAlignment="1">
      <alignment vertical="center"/>
    </xf>
    <xf numFmtId="0" fontId="29" fillId="8" borderId="3" xfId="0" applyFont="1" applyFill="1" applyBorder="1" applyAlignment="1">
      <alignment vertical="center"/>
    </xf>
    <xf numFmtId="10" fontId="33" fillId="8" borderId="28" xfId="1" applyNumberFormat="1" applyFont="1" applyFill="1" applyBorder="1" applyAlignment="1">
      <alignment horizontal="center" vertical="center"/>
    </xf>
    <xf numFmtId="0" fontId="29" fillId="18" borderId="5" xfId="0" applyFont="1" applyFill="1" applyBorder="1" applyAlignment="1">
      <alignment horizontal="center" vertical="center"/>
    </xf>
    <xf numFmtId="0" fontId="29" fillId="18" borderId="26" xfId="0" applyFont="1" applyFill="1" applyBorder="1" applyAlignment="1">
      <alignment horizontal="center" vertical="center"/>
    </xf>
    <xf numFmtId="0" fontId="31" fillId="18" borderId="2" xfId="0" applyFont="1" applyFill="1" applyBorder="1" applyAlignment="1">
      <alignment horizontal="left" vertical="center"/>
    </xf>
    <xf numFmtId="2" fontId="31" fillId="18" borderId="2" xfId="0" applyNumberFormat="1" applyFont="1" applyFill="1" applyBorder="1" applyAlignment="1">
      <alignment horizontal="center" vertical="center"/>
    </xf>
    <xf numFmtId="0" fontId="29" fillId="19" borderId="28" xfId="0" applyFont="1" applyFill="1" applyBorder="1" applyAlignment="1">
      <alignment vertical="center"/>
    </xf>
    <xf numFmtId="0" fontId="29" fillId="19" borderId="3" xfId="0" applyFont="1" applyFill="1" applyBorder="1" applyAlignment="1">
      <alignment vertical="center"/>
    </xf>
    <xf numFmtId="0" fontId="41" fillId="0" borderId="0" xfId="0" applyFont="1"/>
    <xf numFmtId="0" fontId="41" fillId="0" borderId="22" xfId="0" applyFont="1" applyBorder="1"/>
    <xf numFmtId="4" fontId="41" fillId="0" borderId="23" xfId="0" applyNumberFormat="1" applyFont="1" applyBorder="1"/>
    <xf numFmtId="0" fontId="40" fillId="0" borderId="0" xfId="0" applyFont="1"/>
    <xf numFmtId="0" fontId="3" fillId="20" borderId="22" xfId="0" applyFont="1" applyFill="1" applyBorder="1" applyAlignment="1">
      <alignment horizontal="center"/>
    </xf>
    <xf numFmtId="0" fontId="3" fillId="20" borderId="0" xfId="0" applyFont="1" applyFill="1" applyBorder="1" applyAlignment="1">
      <alignment horizontal="center"/>
    </xf>
    <xf numFmtId="0" fontId="45" fillId="0" borderId="0" xfId="0" applyFont="1" applyAlignment="1">
      <alignment horizontal="left"/>
    </xf>
    <xf numFmtId="0" fontId="43" fillId="0" borderId="0" xfId="7" applyFont="1" applyAlignment="1">
      <alignment horizontal="left" vertical="center" wrapText="1"/>
    </xf>
    <xf numFmtId="1" fontId="46" fillId="0" borderId="32" xfId="7" applyNumberFormat="1" applyFont="1" applyBorder="1" applyAlignment="1">
      <alignment horizontal="left" vertical="center" indent="4" shrinkToFit="1"/>
    </xf>
    <xf numFmtId="1" fontId="46" fillId="0" borderId="32" xfId="7" applyNumberFormat="1" applyFont="1" applyBorder="1" applyAlignment="1">
      <alignment horizontal="left" vertical="center" indent="1" shrinkToFit="1"/>
    </xf>
    <xf numFmtId="0" fontId="43" fillId="0" borderId="32" xfId="7" applyFont="1" applyBorder="1" applyAlignment="1">
      <alignment horizontal="left" vertical="center" wrapText="1" indent="1"/>
    </xf>
    <xf numFmtId="0" fontId="43" fillId="0" borderId="32" xfId="7" applyFont="1" applyBorder="1" applyAlignment="1">
      <alignment horizontal="center" vertical="center" wrapText="1"/>
    </xf>
    <xf numFmtId="0" fontId="47" fillId="0" borderId="0" xfId="0" applyFont="1"/>
    <xf numFmtId="0" fontId="47" fillId="0" borderId="0" xfId="0" applyFont="1" applyAlignment="1">
      <alignment horizontal="center"/>
    </xf>
    <xf numFmtId="0" fontId="48" fillId="0" borderId="0" xfId="0" applyFont="1" applyAlignment="1">
      <alignment horizontal="left"/>
    </xf>
    <xf numFmtId="164" fontId="49" fillId="0" borderId="0" xfId="8" applyFont="1" applyFill="1" applyBorder="1" applyAlignment="1">
      <alignment vertical="center" wrapText="1"/>
    </xf>
    <xf numFmtId="1" fontId="50" fillId="0" borderId="0" xfId="7" applyNumberFormat="1" applyFont="1" applyAlignment="1">
      <alignment horizontal="right" shrinkToFit="1"/>
    </xf>
    <xf numFmtId="9" fontId="50" fillId="0" borderId="0" xfId="7" applyNumberFormat="1" applyFont="1" applyAlignment="1">
      <alignment horizontal="center" shrinkToFit="1"/>
    </xf>
    <xf numFmtId="0" fontId="51" fillId="0" borderId="0" xfId="0" applyFont="1" applyAlignment="1">
      <alignment horizontal="left"/>
    </xf>
    <xf numFmtId="1" fontId="46" fillId="0" borderId="0" xfId="7" applyNumberFormat="1" applyFont="1" applyAlignment="1">
      <alignment horizontal="center" vertical="top" shrinkToFit="1"/>
    </xf>
    <xf numFmtId="164" fontId="43" fillId="0" borderId="33" xfId="8" applyFont="1" applyFill="1" applyBorder="1" applyAlignment="1">
      <alignment vertical="center" wrapText="1"/>
    </xf>
    <xf numFmtId="9" fontId="46" fillId="0" borderId="33" xfId="7" applyNumberFormat="1" applyFont="1" applyBorder="1" applyAlignment="1">
      <alignment horizontal="center" shrinkToFit="1"/>
    </xf>
    <xf numFmtId="0" fontId="44" fillId="0" borderId="0" xfId="7" applyFont="1" applyAlignment="1">
      <alignment horizontal="left" vertical="center" wrapText="1"/>
    </xf>
    <xf numFmtId="164" fontId="50" fillId="0" borderId="0" xfId="8" applyFont="1" applyFill="1" applyBorder="1" applyAlignment="1">
      <alignment horizontal="right" shrinkToFit="1"/>
    </xf>
    <xf numFmtId="0" fontId="44" fillId="0" borderId="0" xfId="7" applyFont="1" applyAlignment="1">
      <alignment horizontal="left" wrapText="1"/>
    </xf>
    <xf numFmtId="9" fontId="43" fillId="0" borderId="33" xfId="1" applyFont="1" applyFill="1" applyBorder="1" applyAlignment="1">
      <alignment horizontal="center" vertical="center" wrapText="1"/>
    </xf>
    <xf numFmtId="0" fontId="52" fillId="0" borderId="0" xfId="7" applyFont="1" applyAlignment="1">
      <alignment vertical="top" wrapText="1"/>
    </xf>
    <xf numFmtId="0" fontId="45" fillId="0" borderId="0" xfId="0" applyFont="1" applyAlignment="1">
      <alignment wrapText="1"/>
    </xf>
    <xf numFmtId="0" fontId="48" fillId="0" borderId="0" xfId="7" applyFont="1" applyAlignment="1">
      <alignment wrapText="1"/>
    </xf>
    <xf numFmtId="0" fontId="44" fillId="0" borderId="0" xfId="7" applyFont="1" applyAlignment="1">
      <alignment horizontal="left" vertical="top" wrapText="1"/>
    </xf>
    <xf numFmtId="0" fontId="48" fillId="0" borderId="0" xfId="7" applyFont="1" applyAlignment="1">
      <alignment vertical="top" wrapText="1"/>
    </xf>
    <xf numFmtId="1" fontId="46" fillId="0" borderId="0" xfId="7" applyNumberFormat="1" applyFont="1" applyAlignment="1">
      <alignment horizontal="left" vertical="top" indent="1" shrinkToFit="1"/>
    </xf>
    <xf numFmtId="0" fontId="48" fillId="0" borderId="0" xfId="7" applyFont="1" applyAlignment="1">
      <alignment vertical="center" wrapText="1"/>
    </xf>
    <xf numFmtId="0" fontId="48" fillId="0" borderId="0" xfId="0" applyFont="1" applyAlignment="1">
      <alignment horizontal="left" vertical="top" wrapText="1"/>
    </xf>
    <xf numFmtId="0" fontId="47" fillId="0" borderId="0" xfId="0" applyFont="1" applyAlignment="1">
      <alignment horizontal="left" wrapText="1"/>
    </xf>
    <xf numFmtId="0" fontId="52" fillId="0" borderId="0" xfId="0" applyFont="1" applyAlignment="1">
      <alignment horizontal="left" vertical="top" wrapText="1"/>
    </xf>
    <xf numFmtId="1" fontId="46" fillId="0" borderId="0" xfId="0" applyNumberFormat="1" applyFont="1" applyAlignment="1">
      <alignment horizontal="center" vertical="top" shrinkToFit="1"/>
    </xf>
    <xf numFmtId="0" fontId="48" fillId="0" borderId="0" xfId="0" applyFont="1" applyAlignment="1">
      <alignment horizontal="left" vertical="center" wrapText="1"/>
    </xf>
    <xf numFmtId="0" fontId="47" fillId="0" borderId="0" xfId="0" applyFont="1" applyAlignment="1">
      <alignment horizontal="left" vertical="center" wrapText="1"/>
    </xf>
    <xf numFmtId="0" fontId="53" fillId="0" borderId="0" xfId="0" applyFont="1" applyAlignment="1">
      <alignment horizontal="left"/>
    </xf>
    <xf numFmtId="0" fontId="0" fillId="0" borderId="0" xfId="0" applyAlignment="1">
      <alignment vertical="top" wrapText="1"/>
    </xf>
    <xf numFmtId="0" fontId="54" fillId="21" borderId="0" xfId="0" applyFont="1" applyFill="1" applyAlignment="1">
      <alignment vertical="top"/>
    </xf>
    <xf numFmtId="0" fontId="47" fillId="0" borderId="0" xfId="0" applyFont="1" applyAlignment="1">
      <alignment horizontal="left" vertical="center"/>
    </xf>
    <xf numFmtId="0" fontId="51" fillId="0" borderId="0" xfId="0" applyFont="1" applyAlignment="1">
      <alignment horizontal="center" vertical="top"/>
    </xf>
    <xf numFmtId="49" fontId="51" fillId="0" borderId="0" xfId="8" applyNumberFormat="1" applyFont="1" applyFill="1" applyBorder="1" applyAlignment="1">
      <alignment horizontal="center" vertical="top"/>
    </xf>
    <xf numFmtId="0" fontId="43" fillId="0" borderId="0" xfId="0" applyFont="1" applyAlignment="1">
      <alignment horizontal="left" vertical="top"/>
    </xf>
    <xf numFmtId="0" fontId="52" fillId="0" borderId="0" xfId="0" applyFont="1" applyAlignment="1">
      <alignment horizontal="center" vertical="top"/>
    </xf>
    <xf numFmtId="170" fontId="52" fillId="0" borderId="0" xfId="8" applyNumberFormat="1" applyFont="1" applyFill="1" applyBorder="1" applyAlignment="1">
      <alignment horizontal="center" vertical="top"/>
    </xf>
    <xf numFmtId="9" fontId="52" fillId="0" borderId="0" xfId="0" applyNumberFormat="1" applyFont="1" applyAlignment="1">
      <alignment horizontal="center" vertical="top"/>
    </xf>
    <xf numFmtId="9" fontId="46" fillId="0" borderId="0" xfId="0" applyNumberFormat="1" applyFont="1" applyAlignment="1">
      <alignment horizontal="center" vertical="top" shrinkToFit="1"/>
    </xf>
    <xf numFmtId="0" fontId="49" fillId="0" borderId="0" xfId="0" applyFont="1" applyAlignment="1">
      <alignment horizontal="left" vertical="top"/>
    </xf>
    <xf numFmtId="0" fontId="48" fillId="0" borderId="0" xfId="0" applyFont="1" applyAlignment="1">
      <alignment horizontal="center" vertical="top"/>
    </xf>
    <xf numFmtId="170" fontId="48" fillId="0" borderId="0" xfId="8" applyNumberFormat="1" applyFont="1" applyFill="1" applyBorder="1" applyAlignment="1">
      <alignment horizontal="center" vertical="top"/>
    </xf>
    <xf numFmtId="9" fontId="48" fillId="0" borderId="0" xfId="0" applyNumberFormat="1" applyFont="1" applyAlignment="1">
      <alignment horizontal="center" vertical="top"/>
    </xf>
    <xf numFmtId="9" fontId="50" fillId="0" borderId="0" xfId="0" applyNumberFormat="1" applyFont="1" applyAlignment="1">
      <alignment horizontal="center" vertical="top" shrinkToFit="1"/>
    </xf>
    <xf numFmtId="0" fontId="45" fillId="0" borderId="0" xfId="0" applyFont="1" applyAlignment="1">
      <alignment horizontal="center" vertical="top"/>
    </xf>
    <xf numFmtId="170" fontId="45" fillId="0" borderId="0" xfId="8" applyNumberFormat="1" applyFont="1" applyFill="1" applyBorder="1" applyAlignment="1">
      <alignment horizontal="center" vertical="top"/>
    </xf>
    <xf numFmtId="9" fontId="45" fillId="0" borderId="0" xfId="0" applyNumberFormat="1" applyFont="1" applyAlignment="1">
      <alignment horizontal="center" vertical="top"/>
    </xf>
    <xf numFmtId="0" fontId="43" fillId="21" borderId="0" xfId="0" applyFont="1" applyFill="1" applyAlignment="1">
      <alignment horizontal="left" vertical="top"/>
    </xf>
    <xf numFmtId="0" fontId="52" fillId="21" borderId="0" xfId="0" applyFont="1" applyFill="1" applyAlignment="1">
      <alignment horizontal="center" vertical="top"/>
    </xf>
    <xf numFmtId="170" fontId="52" fillId="21" borderId="0" xfId="8" applyNumberFormat="1" applyFont="1" applyFill="1" applyBorder="1" applyAlignment="1">
      <alignment horizontal="center" vertical="top"/>
    </xf>
    <xf numFmtId="9" fontId="52" fillId="21" borderId="0" xfId="0" applyNumberFormat="1" applyFont="1" applyFill="1" applyAlignment="1">
      <alignment horizontal="center" vertical="top"/>
    </xf>
    <xf numFmtId="0" fontId="49" fillId="0" borderId="0" xfId="0" applyFont="1" applyAlignment="1">
      <alignment horizontal="left" vertical="center"/>
    </xf>
    <xf numFmtId="0" fontId="45" fillId="0" borderId="0" xfId="0" applyFont="1" applyAlignment="1">
      <alignment horizontal="center" vertical="center"/>
    </xf>
    <xf numFmtId="170" fontId="45" fillId="0" borderId="0" xfId="8" applyNumberFormat="1" applyFont="1" applyFill="1" applyBorder="1" applyAlignment="1">
      <alignment horizontal="center" vertical="center"/>
    </xf>
    <xf numFmtId="9" fontId="45" fillId="0" borderId="0" xfId="0" applyNumberFormat="1" applyFont="1" applyAlignment="1">
      <alignment horizontal="center" vertical="center"/>
    </xf>
    <xf numFmtId="9" fontId="50" fillId="0" borderId="0" xfId="0" applyNumberFormat="1" applyFont="1" applyAlignment="1">
      <alignment horizontal="center" vertical="center" shrinkToFit="1"/>
    </xf>
    <xf numFmtId="170" fontId="51" fillId="0" borderId="0" xfId="8" applyNumberFormat="1" applyFont="1" applyFill="1" applyBorder="1" applyAlignment="1">
      <alignment horizontal="center" vertical="top"/>
    </xf>
    <xf numFmtId="168" fontId="48" fillId="0" borderId="0" xfId="0" applyNumberFormat="1" applyFont="1" applyAlignment="1">
      <alignment horizontal="center" vertical="top"/>
    </xf>
    <xf numFmtId="0" fontId="49" fillId="0" borderId="0" xfId="0" applyFont="1" applyAlignment="1">
      <alignment horizontal="center" vertical="top"/>
    </xf>
    <xf numFmtId="168" fontId="49" fillId="0" borderId="0" xfId="1" applyNumberFormat="1" applyFont="1" applyFill="1" applyBorder="1" applyAlignment="1">
      <alignment horizontal="center" vertical="top"/>
    </xf>
    <xf numFmtId="0" fontId="51" fillId="21" borderId="0" xfId="0" applyFont="1" applyFill="1" applyAlignment="1">
      <alignment horizontal="center" vertical="top"/>
    </xf>
    <xf numFmtId="170" fontId="51" fillId="21" borderId="0" xfId="8" applyNumberFormat="1" applyFont="1" applyFill="1" applyBorder="1" applyAlignment="1">
      <alignment horizontal="center" vertical="top"/>
    </xf>
    <xf numFmtId="10" fontId="51" fillId="21" borderId="0" xfId="0" applyNumberFormat="1" applyFont="1" applyFill="1" applyAlignment="1">
      <alignment horizontal="center" vertical="top"/>
    </xf>
    <xf numFmtId="0" fontId="43" fillId="21" borderId="0" xfId="0" applyFont="1" applyFill="1" applyAlignment="1">
      <alignment horizontal="center" vertical="top"/>
    </xf>
    <xf numFmtId="0" fontId="57" fillId="0" borderId="0" xfId="0" applyFont="1" applyAlignment="1">
      <alignment horizontal="left"/>
    </xf>
    <xf numFmtId="0" fontId="58" fillId="0" borderId="0" xfId="0" applyFont="1"/>
    <xf numFmtId="164" fontId="58" fillId="0" borderId="0" xfId="8" applyFont="1"/>
    <xf numFmtId="164" fontId="59" fillId="0" borderId="0" xfId="8" applyFont="1"/>
    <xf numFmtId="0" fontId="60" fillId="0" borderId="0" xfId="0" applyFont="1" applyAlignment="1">
      <alignment horizontal="left"/>
    </xf>
    <xf numFmtId="164" fontId="59" fillId="0" borderId="0" xfId="0" applyNumberFormat="1" applyFont="1"/>
    <xf numFmtId="0" fontId="64" fillId="0" borderId="0" xfId="0" applyFont="1"/>
    <xf numFmtId="0" fontId="65" fillId="0" borderId="34" xfId="0" applyFont="1" applyBorder="1" applyAlignment="1">
      <alignment horizontal="right" vertical="center"/>
    </xf>
    <xf numFmtId="0" fontId="65" fillId="0" borderId="35" xfId="0" applyFont="1" applyBorder="1" applyAlignment="1">
      <alignment horizontal="right" vertical="center"/>
    </xf>
    <xf numFmtId="16" fontId="66" fillId="0" borderId="36" xfId="0" applyNumberFormat="1" applyFont="1" applyBorder="1" applyAlignment="1">
      <alignment horizontal="right" vertical="center"/>
    </xf>
    <xf numFmtId="16" fontId="66" fillId="0" borderId="0" xfId="0" applyNumberFormat="1" applyFont="1" applyAlignment="1">
      <alignment horizontal="right" vertical="center"/>
    </xf>
    <xf numFmtId="0" fontId="67" fillId="0" borderId="37" xfId="0" applyFont="1" applyBorder="1" applyAlignment="1">
      <alignment horizontal="left" vertical="center"/>
    </xf>
    <xf numFmtId="0" fontId="64" fillId="0" borderId="38" xfId="0" applyFont="1" applyBorder="1" applyAlignment="1">
      <alignment horizontal="right" vertical="center"/>
    </xf>
    <xf numFmtId="0" fontId="64" fillId="0" borderId="39" xfId="0" applyFont="1" applyBorder="1" applyAlignment="1">
      <alignment horizontal="right" vertical="center"/>
    </xf>
    <xf numFmtId="0" fontId="67" fillId="22" borderId="40" xfId="0" applyFont="1" applyFill="1" applyBorder="1" applyAlignment="1">
      <alignment horizontal="left" vertical="center"/>
    </xf>
    <xf numFmtId="169" fontId="64" fillId="22" borderId="41" xfId="9" applyNumberFormat="1" applyFont="1" applyFill="1" applyBorder="1" applyAlignment="1">
      <alignment horizontal="right" vertical="center"/>
    </xf>
    <xf numFmtId="0" fontId="64" fillId="0" borderId="37" xfId="0" applyFont="1" applyBorder="1" applyAlignment="1">
      <alignment horizontal="left" vertical="center"/>
    </xf>
    <xf numFmtId="169" fontId="64" fillId="0" borderId="38" xfId="9" applyNumberFormat="1" applyFont="1" applyBorder="1" applyAlignment="1">
      <alignment horizontal="right" vertical="center"/>
    </xf>
    <xf numFmtId="0" fontId="64" fillId="0" borderId="36" xfId="0" applyFont="1" applyBorder="1" applyAlignment="1">
      <alignment horizontal="left" vertical="center"/>
    </xf>
    <xf numFmtId="0" fontId="67" fillId="0" borderId="42" xfId="0" applyFont="1" applyBorder="1" applyAlignment="1">
      <alignment horizontal="left" vertical="center"/>
    </xf>
    <xf numFmtId="169" fontId="64" fillId="22" borderId="43" xfId="9" applyNumberFormat="1" applyFont="1" applyFill="1" applyBorder="1" applyAlignment="1">
      <alignment horizontal="right" vertical="center"/>
    </xf>
    <xf numFmtId="0" fontId="67" fillId="0" borderId="44" xfId="0" applyFont="1" applyBorder="1" applyAlignment="1">
      <alignment horizontal="left" vertical="center"/>
    </xf>
    <xf numFmtId="0" fontId="68" fillId="0" borderId="0" xfId="0" applyFont="1" applyAlignment="1">
      <alignment horizontal="left" vertical="center"/>
    </xf>
    <xf numFmtId="0" fontId="65" fillId="23" borderId="34" xfId="0" applyFont="1" applyFill="1" applyBorder="1" applyAlignment="1">
      <alignment horizontal="right" vertical="center"/>
    </xf>
    <xf numFmtId="0" fontId="65" fillId="23" borderId="35" xfId="0" applyFont="1" applyFill="1" applyBorder="1" applyAlignment="1">
      <alignment horizontal="right" vertical="center"/>
    </xf>
    <xf numFmtId="16" fontId="66" fillId="23" borderId="36" xfId="0" applyNumberFormat="1" applyFont="1" applyFill="1" applyBorder="1" applyAlignment="1">
      <alignment horizontal="right" vertical="center"/>
    </xf>
    <xf numFmtId="16" fontId="66" fillId="23" borderId="0" xfId="0" applyNumberFormat="1" applyFont="1" applyFill="1" applyAlignment="1">
      <alignment horizontal="right" vertical="center"/>
    </xf>
    <xf numFmtId="0" fontId="65" fillId="22" borderId="37" xfId="0" applyFont="1" applyFill="1" applyBorder="1" applyAlignment="1">
      <alignment horizontal="left" vertical="center"/>
    </xf>
    <xf numFmtId="169" fontId="66" fillId="22" borderId="38" xfId="9" applyNumberFormat="1" applyFont="1" applyFill="1" applyBorder="1" applyAlignment="1">
      <alignment horizontal="right" vertical="center"/>
    </xf>
    <xf numFmtId="0" fontId="64" fillId="23" borderId="37" xfId="0" applyFont="1" applyFill="1" applyBorder="1" applyAlignment="1">
      <alignment horizontal="left" vertical="center"/>
    </xf>
    <xf numFmtId="169" fontId="64" fillId="23" borderId="38" xfId="9" applyNumberFormat="1" applyFont="1" applyFill="1" applyBorder="1" applyAlignment="1">
      <alignment horizontal="right" vertical="center"/>
    </xf>
    <xf numFmtId="0" fontId="64" fillId="23" borderId="36" xfId="0" applyFont="1" applyFill="1" applyBorder="1" applyAlignment="1">
      <alignment horizontal="left" vertical="center"/>
    </xf>
    <xf numFmtId="0" fontId="65" fillId="22" borderId="40" xfId="0" applyFont="1" applyFill="1" applyBorder="1" applyAlignment="1">
      <alignment horizontal="left" vertical="center"/>
    </xf>
    <xf numFmtId="0" fontId="65" fillId="23" borderId="42" xfId="0" applyFont="1" applyFill="1" applyBorder="1" applyAlignment="1">
      <alignment horizontal="left" vertical="center"/>
    </xf>
    <xf numFmtId="0" fontId="66" fillId="23" borderId="42" xfId="0" applyFont="1" applyFill="1" applyBorder="1" applyAlignment="1">
      <alignment horizontal="left" vertical="center"/>
    </xf>
    <xf numFmtId="0" fontId="66" fillId="24" borderId="44" xfId="0" applyFont="1" applyFill="1" applyBorder="1" applyAlignment="1">
      <alignment horizontal="left" vertical="center"/>
    </xf>
    <xf numFmtId="0" fontId="41" fillId="0" borderId="22" xfId="0" applyFont="1" applyFill="1" applyBorder="1"/>
    <xf numFmtId="4" fontId="41" fillId="0" borderId="0" xfId="0" applyNumberFormat="1" applyFont="1" applyBorder="1"/>
    <xf numFmtId="10" fontId="41" fillId="0" borderId="0" xfId="1" applyNumberFormat="1" applyFont="1" applyFill="1" applyBorder="1"/>
    <xf numFmtId="10" fontId="41" fillId="0" borderId="23" xfId="1" applyNumberFormat="1" applyFont="1" applyFill="1" applyBorder="1"/>
    <xf numFmtId="0" fontId="3" fillId="20" borderId="23" xfId="0" applyFont="1" applyFill="1" applyBorder="1" applyAlignment="1">
      <alignment horizontal="center"/>
    </xf>
    <xf numFmtId="0" fontId="3" fillId="20" borderId="0" xfId="0" applyFont="1" applyFill="1" applyBorder="1" applyAlignment="1"/>
    <xf numFmtId="0" fontId="3" fillId="20" borderId="23" xfId="0" applyFont="1" applyFill="1" applyBorder="1" applyAlignment="1"/>
    <xf numFmtId="0" fontId="41" fillId="25" borderId="22" xfId="0" applyFont="1" applyFill="1" applyBorder="1"/>
    <xf numFmtId="4" fontId="41" fillId="25" borderId="0" xfId="0" applyNumberFormat="1" applyFont="1" applyFill="1" applyBorder="1"/>
    <xf numFmtId="4" fontId="41" fillId="25" borderId="23" xfId="0" applyNumberFormat="1" applyFont="1" applyFill="1" applyBorder="1"/>
    <xf numFmtId="10" fontId="41" fillId="25" borderId="0" xfId="1" applyNumberFormat="1" applyFont="1" applyFill="1" applyBorder="1"/>
    <xf numFmtId="10" fontId="41" fillId="25" borderId="23" xfId="1" applyNumberFormat="1" applyFont="1" applyFill="1" applyBorder="1"/>
    <xf numFmtId="4" fontId="0" fillId="0" borderId="0" xfId="0" applyNumberFormat="1"/>
    <xf numFmtId="10" fontId="41" fillId="25" borderId="25" xfId="1" applyNumberFormat="1" applyFont="1" applyFill="1" applyBorder="1"/>
    <xf numFmtId="10" fontId="41" fillId="25" borderId="4" xfId="1" applyNumberFormat="1" applyFont="1" applyFill="1" applyBorder="1"/>
    <xf numFmtId="0" fontId="3" fillId="20" borderId="19" xfId="0" applyFont="1" applyFill="1" applyBorder="1" applyAlignment="1"/>
    <xf numFmtId="0" fontId="3" fillId="20" borderId="20" xfId="0" applyFont="1" applyFill="1" applyBorder="1" applyAlignment="1"/>
    <xf numFmtId="9" fontId="58" fillId="0" borderId="0" xfId="1" applyFont="1"/>
    <xf numFmtId="0" fontId="3" fillId="20" borderId="22" xfId="0" applyFont="1" applyFill="1" applyBorder="1" applyAlignment="1"/>
    <xf numFmtId="0" fontId="3" fillId="20" borderId="21" xfId="0" applyFont="1" applyFill="1" applyBorder="1" applyAlignment="1"/>
    <xf numFmtId="10" fontId="41" fillId="25" borderId="24" xfId="1" applyNumberFormat="1" applyFont="1" applyFill="1" applyBorder="1"/>
    <xf numFmtId="4" fontId="64" fillId="0" borderId="0" xfId="0" applyNumberFormat="1" applyFont="1"/>
    <xf numFmtId="9" fontId="0" fillId="0" borderId="0" xfId="0" applyNumberFormat="1"/>
    <xf numFmtId="9" fontId="0" fillId="0" borderId="0" xfId="1" applyFont="1"/>
    <xf numFmtId="4" fontId="16" fillId="2" borderId="22" xfId="1" applyNumberFormat="1" applyFont="1" applyFill="1" applyBorder="1"/>
    <xf numFmtId="0" fontId="41" fillId="9" borderId="22" xfId="0" applyFont="1" applyFill="1" applyBorder="1"/>
    <xf numFmtId="4" fontId="41" fillId="9" borderId="0" xfId="0" applyNumberFormat="1" applyFont="1" applyFill="1" applyBorder="1"/>
    <xf numFmtId="4" fontId="41" fillId="9" borderId="23" xfId="0" applyNumberFormat="1" applyFont="1" applyFill="1" applyBorder="1"/>
    <xf numFmtId="10" fontId="41" fillId="9" borderId="0" xfId="1" applyNumberFormat="1" applyFont="1" applyFill="1" applyBorder="1"/>
    <xf numFmtId="10" fontId="41" fillId="9" borderId="23" xfId="1" applyNumberFormat="1" applyFont="1" applyFill="1" applyBorder="1"/>
    <xf numFmtId="0" fontId="41" fillId="9" borderId="24" xfId="0" applyFont="1" applyFill="1" applyBorder="1"/>
    <xf numFmtId="10" fontId="41" fillId="9" borderId="4" xfId="1" applyNumberFormat="1" applyFont="1" applyFill="1" applyBorder="1"/>
    <xf numFmtId="10" fontId="41" fillId="9" borderId="25" xfId="1" applyNumberFormat="1" applyFont="1" applyFill="1" applyBorder="1"/>
    <xf numFmtId="0" fontId="1" fillId="26" borderId="1" xfId="0" applyFont="1" applyFill="1" applyBorder="1" applyAlignment="1">
      <alignment horizontal="center" vertical="center" wrapText="1"/>
    </xf>
    <xf numFmtId="0" fontId="0" fillId="0" borderId="0" xfId="0" applyBorder="1"/>
    <xf numFmtId="42" fontId="16" fillId="0" borderId="21" xfId="3" applyFont="1" applyFill="1" applyBorder="1" applyAlignment="1">
      <alignment horizontal="center"/>
    </xf>
    <xf numFmtId="168" fontId="21" fillId="2" borderId="1" xfId="1" applyNumberFormat="1" applyFont="1" applyFill="1" applyBorder="1" applyAlignment="1">
      <alignment horizontal="center"/>
    </xf>
    <xf numFmtId="0" fontId="29" fillId="9" borderId="10" xfId="0" applyFont="1" applyFill="1" applyBorder="1" applyAlignment="1">
      <alignment vertical="center"/>
    </xf>
    <xf numFmtId="0" fontId="29" fillId="8" borderId="11" xfId="0" applyFont="1" applyFill="1" applyBorder="1" applyAlignment="1">
      <alignment horizontal="center" vertical="center"/>
    </xf>
    <xf numFmtId="0" fontId="29" fillId="8" borderId="12" xfId="0" applyFont="1" applyFill="1" applyBorder="1" applyAlignment="1">
      <alignment horizontal="center" vertical="center"/>
    </xf>
    <xf numFmtId="0" fontId="69" fillId="2" borderId="13" xfId="0" applyFont="1" applyFill="1" applyBorder="1"/>
    <xf numFmtId="166" fontId="69" fillId="2" borderId="14" xfId="0" applyNumberFormat="1" applyFont="1" applyFill="1" applyBorder="1"/>
    <xf numFmtId="0" fontId="69" fillId="2" borderId="16" xfId="0" applyFont="1" applyFill="1" applyBorder="1"/>
    <xf numFmtId="0" fontId="69" fillId="2" borderId="0" xfId="0" applyFont="1" applyFill="1"/>
    <xf numFmtId="9" fontId="69" fillId="2" borderId="14" xfId="1" applyFont="1" applyFill="1" applyBorder="1"/>
    <xf numFmtId="9" fontId="70" fillId="2" borderId="14" xfId="1" applyFont="1" applyFill="1" applyBorder="1"/>
    <xf numFmtId="9" fontId="69" fillId="2" borderId="17" xfId="1" applyFont="1" applyFill="1" applyBorder="1"/>
    <xf numFmtId="0" fontId="71" fillId="0" borderId="0" xfId="0" applyFont="1"/>
    <xf numFmtId="0" fontId="29" fillId="8" borderId="45" xfId="0" applyFont="1" applyFill="1" applyBorder="1" applyAlignment="1">
      <alignment horizontal="center" vertical="center"/>
    </xf>
    <xf numFmtId="166" fontId="69" fillId="2" borderId="46" xfId="0" applyNumberFormat="1" applyFont="1" applyFill="1" applyBorder="1"/>
    <xf numFmtId="9" fontId="69" fillId="2" borderId="46" xfId="1" applyFont="1" applyFill="1" applyBorder="1"/>
    <xf numFmtId="0" fontId="5" fillId="0" borderId="0" xfId="0" applyFont="1" applyAlignment="1">
      <alignment horizontal="center" vertical="center"/>
    </xf>
    <xf numFmtId="0" fontId="5" fillId="0" borderId="4" xfId="0" applyFont="1" applyBorder="1" applyAlignment="1">
      <alignment horizontal="center" vertical="center"/>
    </xf>
    <xf numFmtId="0" fontId="26" fillId="0" borderId="27" xfId="0" applyFont="1" applyBorder="1" applyAlignment="1">
      <alignment horizontal="center" vertical="center"/>
    </xf>
    <xf numFmtId="0" fontId="26" fillId="0" borderId="26" xfId="0" applyFont="1" applyBorder="1" applyAlignment="1">
      <alignment horizontal="center" vertical="center"/>
    </xf>
    <xf numFmtId="0" fontId="0" fillId="0" borderId="19"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7" fillId="0" borderId="0" xfId="0" applyFont="1" applyAlignment="1">
      <alignment horizontal="center" vertical="center"/>
    </xf>
    <xf numFmtId="0" fontId="3" fillId="3" borderId="6" xfId="0" applyFont="1" applyFill="1" applyBorder="1" applyAlignment="1">
      <alignment horizontal="center"/>
    </xf>
    <xf numFmtId="0" fontId="3" fillId="3" borderId="7" xfId="0" applyFont="1" applyFill="1" applyBorder="1" applyAlignment="1">
      <alignment horizontal="center"/>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0" xfId="0" applyFont="1" applyBorder="1" applyAlignment="1">
      <alignment horizontal="left" vertical="center"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4" fillId="0" borderId="4" xfId="0" applyFont="1" applyBorder="1" applyAlignment="1">
      <alignment horizontal="left" vertical="center" wrapText="1"/>
    </xf>
    <xf numFmtId="0" fontId="4" fillId="0" borderId="25" xfId="0" applyFont="1" applyBorder="1" applyAlignment="1">
      <alignment horizontal="left" vertical="center" wrapText="1"/>
    </xf>
    <xf numFmtId="0" fontId="20" fillId="9" borderId="27" xfId="0" applyFont="1" applyFill="1" applyBorder="1" applyAlignment="1">
      <alignment horizontal="center" vertical="center"/>
    </xf>
    <xf numFmtId="0" fontId="20" fillId="9" borderId="5" xfId="0" applyFont="1" applyFill="1" applyBorder="1" applyAlignment="1">
      <alignment horizontal="center" vertical="center"/>
    </xf>
    <xf numFmtId="0" fontId="20" fillId="9" borderId="26" xfId="0" applyFont="1" applyFill="1" applyBorder="1" applyAlignment="1">
      <alignment horizontal="center" vertical="center"/>
    </xf>
    <xf numFmtId="0" fontId="17" fillId="7" borderId="24" xfId="0" applyFont="1" applyFill="1" applyBorder="1" applyAlignment="1">
      <alignment horizontal="center" vertical="center" wrapText="1"/>
    </xf>
    <xf numFmtId="0" fontId="17" fillId="7" borderId="4" xfId="0" applyFont="1" applyFill="1" applyBorder="1" applyAlignment="1">
      <alignment horizontal="center" vertical="center" wrapText="1"/>
    </xf>
    <xf numFmtId="0" fontId="17" fillId="7" borderId="25" xfId="0" applyFont="1" applyFill="1" applyBorder="1" applyAlignment="1">
      <alignment horizontal="center" vertical="center" wrapText="1"/>
    </xf>
    <xf numFmtId="0" fontId="17" fillId="7" borderId="27" xfId="0" applyFont="1" applyFill="1" applyBorder="1" applyAlignment="1">
      <alignment horizontal="center" vertical="center" wrapText="1"/>
    </xf>
    <xf numFmtId="0" fontId="17" fillId="7" borderId="5" xfId="0" applyFont="1" applyFill="1" applyBorder="1" applyAlignment="1">
      <alignment horizontal="center" vertical="center" wrapText="1"/>
    </xf>
    <xf numFmtId="0" fontId="17" fillId="7" borderId="26" xfId="0" applyFont="1" applyFill="1" applyBorder="1" applyAlignment="1">
      <alignment horizontal="center" vertical="center" wrapText="1"/>
    </xf>
    <xf numFmtId="0" fontId="17" fillId="7" borderId="19" xfId="0" applyFont="1" applyFill="1" applyBorder="1" applyAlignment="1">
      <alignment horizontal="center" vertical="center" wrapText="1"/>
    </xf>
    <xf numFmtId="0" fontId="17" fillId="7" borderId="20" xfId="0" applyFont="1" applyFill="1" applyBorder="1" applyAlignment="1">
      <alignment horizontal="center" vertical="center" wrapText="1"/>
    </xf>
    <xf numFmtId="0" fontId="17" fillId="7" borderId="21" xfId="0" applyFont="1" applyFill="1" applyBorder="1" applyAlignment="1">
      <alignment horizontal="center" vertical="center" wrapText="1"/>
    </xf>
    <xf numFmtId="0" fontId="17" fillId="7" borderId="22" xfId="0" applyFont="1" applyFill="1" applyBorder="1" applyAlignment="1">
      <alignment horizontal="center" vertical="center" wrapText="1"/>
    </xf>
    <xf numFmtId="0" fontId="17" fillId="7" borderId="0" xfId="0" applyFont="1" applyFill="1" applyBorder="1" applyAlignment="1">
      <alignment horizontal="center" vertical="center" wrapText="1"/>
    </xf>
    <xf numFmtId="0" fontId="17" fillId="7" borderId="23" xfId="0" applyFont="1" applyFill="1" applyBorder="1" applyAlignment="1">
      <alignment horizontal="center" vertical="center" wrapText="1"/>
    </xf>
    <xf numFmtId="10" fontId="17" fillId="7" borderId="27" xfId="1" applyNumberFormat="1" applyFont="1" applyFill="1" applyBorder="1" applyAlignment="1">
      <alignment horizontal="center"/>
    </xf>
    <xf numFmtId="10" fontId="17" fillId="7" borderId="5" xfId="1" applyNumberFormat="1" applyFont="1" applyFill="1" applyBorder="1" applyAlignment="1">
      <alignment horizontal="center"/>
    </xf>
    <xf numFmtId="10" fontId="17" fillId="7" borderId="26" xfId="1" applyNumberFormat="1" applyFont="1" applyFill="1" applyBorder="1" applyAlignment="1">
      <alignment horizontal="center"/>
    </xf>
    <xf numFmtId="0" fontId="16" fillId="11" borderId="27" xfId="0" applyFont="1" applyFill="1" applyBorder="1" applyAlignment="1">
      <alignment horizontal="center"/>
    </xf>
    <xf numFmtId="0" fontId="16" fillId="11" borderId="5" xfId="0" applyFont="1" applyFill="1" applyBorder="1" applyAlignment="1">
      <alignment horizontal="center"/>
    </xf>
    <xf numFmtId="0" fontId="16" fillId="11" borderId="26" xfId="0" applyFont="1" applyFill="1" applyBorder="1" applyAlignment="1">
      <alignment horizontal="center"/>
    </xf>
    <xf numFmtId="0" fontId="17" fillId="12" borderId="27" xfId="0" applyFont="1" applyFill="1" applyBorder="1" applyAlignment="1">
      <alignment horizontal="center"/>
    </xf>
    <xf numFmtId="0" fontId="17" fillId="12" borderId="26" xfId="0" applyFont="1" applyFill="1" applyBorder="1" applyAlignment="1">
      <alignment horizontal="center"/>
    </xf>
    <xf numFmtId="0" fontId="16" fillId="11" borderId="19" xfId="0" applyFont="1" applyFill="1" applyBorder="1" applyAlignment="1">
      <alignment horizontal="center"/>
    </xf>
    <xf numFmtId="0" fontId="16" fillId="11" borderId="24" xfId="0" applyFont="1" applyFill="1" applyBorder="1" applyAlignment="1">
      <alignment horizontal="center"/>
    </xf>
    <xf numFmtId="0" fontId="16" fillId="11" borderId="28" xfId="0" applyFont="1" applyFill="1" applyBorder="1" applyAlignment="1">
      <alignment horizontal="center"/>
    </xf>
    <xf numFmtId="0" fontId="16" fillId="11" borderId="2" xfId="0" applyFont="1" applyFill="1" applyBorder="1" applyAlignment="1">
      <alignment horizontal="center"/>
    </xf>
    <xf numFmtId="0" fontId="16" fillId="11" borderId="4" xfId="0" applyFont="1" applyFill="1" applyBorder="1" applyAlignment="1">
      <alignment horizontal="center"/>
    </xf>
    <xf numFmtId="0" fontId="16" fillId="11" borderId="22" xfId="0" applyFont="1" applyFill="1" applyBorder="1" applyAlignment="1">
      <alignment horizontal="center"/>
    </xf>
    <xf numFmtId="0" fontId="17" fillId="12" borderId="5" xfId="0" applyFont="1" applyFill="1" applyBorder="1" applyAlignment="1">
      <alignment horizontal="center"/>
    </xf>
    <xf numFmtId="0" fontId="17" fillId="7" borderId="27" xfId="0" applyFont="1" applyFill="1" applyBorder="1" applyAlignment="1">
      <alignment horizontal="center"/>
    </xf>
    <xf numFmtId="0" fontId="17" fillId="7" borderId="5" xfId="0" applyFont="1" applyFill="1" applyBorder="1" applyAlignment="1">
      <alignment horizontal="center"/>
    </xf>
    <xf numFmtId="0" fontId="17" fillId="7" borderId="26" xfId="0" applyFont="1" applyFill="1" applyBorder="1" applyAlignment="1">
      <alignment horizontal="center"/>
    </xf>
    <xf numFmtId="0" fontId="28" fillId="4" borderId="28" xfId="0" applyFont="1" applyFill="1" applyBorder="1" applyAlignment="1">
      <alignment horizontal="center" vertical="center" wrapText="1"/>
    </xf>
    <xf numFmtId="0" fontId="28" fillId="4" borderId="3" xfId="0" applyFont="1" applyFill="1" applyBorder="1" applyAlignment="1">
      <alignment horizontal="center" vertical="center" wrapText="1"/>
    </xf>
    <xf numFmtId="0" fontId="0" fillId="0" borderId="1" xfId="0" applyBorder="1" applyAlignment="1">
      <alignment horizontal="center" vertical="center" wrapText="1"/>
    </xf>
    <xf numFmtId="2" fontId="31" fillId="10" borderId="28" xfId="0" applyNumberFormat="1" applyFont="1" applyFill="1" applyBorder="1" applyAlignment="1">
      <alignment horizontal="center" vertical="center"/>
    </xf>
    <xf numFmtId="2" fontId="31" fillId="10" borderId="3" xfId="0" applyNumberFormat="1" applyFont="1" applyFill="1" applyBorder="1" applyAlignment="1">
      <alignment horizontal="center" vertical="center"/>
    </xf>
    <xf numFmtId="2" fontId="31" fillId="8" borderId="28" xfId="0" applyNumberFormat="1" applyFont="1" applyFill="1" applyBorder="1" applyAlignment="1">
      <alignment horizontal="center" vertical="center"/>
    </xf>
    <xf numFmtId="2" fontId="31" fillId="8" borderId="3" xfId="0" applyNumberFormat="1" applyFont="1" applyFill="1" applyBorder="1" applyAlignment="1">
      <alignment horizontal="center" vertical="center"/>
    </xf>
    <xf numFmtId="10" fontId="31" fillId="8" borderId="28" xfId="1" applyNumberFormat="1" applyFont="1" applyFill="1" applyBorder="1" applyAlignment="1">
      <alignment horizontal="center" vertical="center"/>
    </xf>
    <xf numFmtId="10" fontId="31" fillId="8" borderId="3" xfId="1" applyNumberFormat="1" applyFont="1" applyFill="1" applyBorder="1" applyAlignment="1">
      <alignment horizontal="center" vertical="center"/>
    </xf>
    <xf numFmtId="0" fontId="28" fillId="4" borderId="24" xfId="0" applyFont="1" applyFill="1" applyBorder="1" applyAlignment="1">
      <alignment horizontal="center" vertical="center" wrapText="1"/>
    </xf>
    <xf numFmtId="0" fontId="28" fillId="4" borderId="4" xfId="0" applyFont="1" applyFill="1" applyBorder="1" applyAlignment="1">
      <alignment horizontal="center" vertical="center" wrapText="1"/>
    </xf>
    <xf numFmtId="0" fontId="31" fillId="8" borderId="28" xfId="0" applyFont="1" applyFill="1" applyBorder="1" applyAlignment="1">
      <alignment horizontal="left" vertical="center"/>
    </xf>
    <xf numFmtId="0" fontId="31" fillId="8" borderId="3" xfId="0" applyFont="1" applyFill="1" applyBorder="1" applyAlignment="1">
      <alignment horizontal="left" vertical="center"/>
    </xf>
    <xf numFmtId="9" fontId="31" fillId="8" borderId="28" xfId="1" applyNumberFormat="1" applyFont="1" applyFill="1" applyBorder="1" applyAlignment="1">
      <alignment horizontal="center" vertical="center"/>
    </xf>
    <xf numFmtId="9" fontId="31" fillId="8" borderId="3" xfId="1" applyNumberFormat="1" applyFont="1" applyFill="1" applyBorder="1" applyAlignment="1">
      <alignment horizontal="center" vertical="center"/>
    </xf>
    <xf numFmtId="42" fontId="31" fillId="8" borderId="28" xfId="3" applyFont="1" applyFill="1" applyBorder="1" applyAlignment="1">
      <alignment horizontal="center" vertical="center"/>
    </xf>
    <xf numFmtId="42" fontId="31" fillId="8" borderId="3" xfId="3" applyFont="1" applyFill="1" applyBorder="1" applyAlignment="1">
      <alignment horizontal="center" vertical="center"/>
    </xf>
    <xf numFmtId="9" fontId="31" fillId="8" borderId="28" xfId="1" applyFont="1" applyFill="1" applyBorder="1" applyAlignment="1">
      <alignment horizontal="center" vertical="center"/>
    </xf>
    <xf numFmtId="9" fontId="31" fillId="8" borderId="3" xfId="1" applyFont="1" applyFill="1" applyBorder="1" applyAlignment="1">
      <alignment horizontal="center" vertical="center"/>
    </xf>
    <xf numFmtId="2" fontId="31" fillId="8" borderId="2" xfId="0" applyNumberFormat="1" applyFont="1" applyFill="1" applyBorder="1" applyAlignment="1">
      <alignment horizontal="center" vertical="center"/>
    </xf>
    <xf numFmtId="0" fontId="29" fillId="16" borderId="27" xfId="0" applyFont="1" applyFill="1" applyBorder="1" applyAlignment="1">
      <alignment horizontal="center" vertical="center"/>
    </xf>
    <xf numFmtId="0" fontId="29" fillId="16" borderId="26" xfId="0" applyFont="1" applyFill="1" applyBorder="1" applyAlignment="1">
      <alignment horizontal="center" vertical="center"/>
    </xf>
    <xf numFmtId="42" fontId="31" fillId="8" borderId="28" xfId="3" applyNumberFormat="1" applyFont="1" applyFill="1" applyBorder="1" applyAlignment="1">
      <alignment horizontal="center" vertical="center"/>
    </xf>
    <xf numFmtId="42" fontId="31" fillId="8" borderId="3" xfId="3" applyNumberFormat="1" applyFont="1" applyFill="1" applyBorder="1" applyAlignment="1">
      <alignment horizontal="center" vertical="center"/>
    </xf>
    <xf numFmtId="0" fontId="30" fillId="8" borderId="1" xfId="0" applyFont="1" applyFill="1" applyBorder="1" applyAlignment="1">
      <alignment horizontal="center" vertical="center" wrapText="1"/>
    </xf>
    <xf numFmtId="0" fontId="29" fillId="16" borderId="19" xfId="0" applyFont="1" applyFill="1" applyBorder="1" applyAlignment="1">
      <alignment horizontal="center" vertical="center"/>
    </xf>
    <xf numFmtId="0" fontId="31" fillId="10" borderId="28" xfId="0" applyFont="1" applyFill="1" applyBorder="1" applyAlignment="1">
      <alignment horizontal="left" vertical="center"/>
    </xf>
    <xf numFmtId="0" fontId="31" fillId="10" borderId="3" xfId="0" applyFont="1" applyFill="1" applyBorder="1" applyAlignment="1">
      <alignment horizontal="left" vertical="center"/>
    </xf>
    <xf numFmtId="0" fontId="31" fillId="8" borderId="2" xfId="0" applyFont="1" applyFill="1" applyBorder="1" applyAlignment="1">
      <alignment horizontal="left" vertical="center"/>
    </xf>
    <xf numFmtId="0" fontId="30" fillId="10" borderId="28" xfId="0" applyFont="1" applyFill="1" applyBorder="1" applyAlignment="1">
      <alignment horizontal="center" vertical="center"/>
    </xf>
    <xf numFmtId="0" fontId="30" fillId="10" borderId="2" xfId="0" applyFont="1" applyFill="1" applyBorder="1" applyAlignment="1">
      <alignment horizontal="center" vertical="center"/>
    </xf>
    <xf numFmtId="0" fontId="31" fillId="10" borderId="19" xfId="0" applyFont="1" applyFill="1" applyBorder="1" applyAlignment="1">
      <alignment horizontal="left" vertical="center"/>
    </xf>
    <xf numFmtId="0" fontId="31" fillId="10" borderId="24" xfId="0" applyFont="1" applyFill="1" applyBorder="1" applyAlignment="1">
      <alignment horizontal="left" vertical="center"/>
    </xf>
    <xf numFmtId="0" fontId="30" fillId="10" borderId="3" xfId="0" applyFont="1" applyFill="1" applyBorder="1" applyAlignment="1">
      <alignment horizontal="center" vertical="center"/>
    </xf>
    <xf numFmtId="0" fontId="30" fillId="8" borderId="31" xfId="0" applyFont="1" applyFill="1" applyBorder="1" applyAlignment="1">
      <alignment horizontal="center" vertical="center" wrapText="1"/>
    </xf>
    <xf numFmtId="0" fontId="30" fillId="8" borderId="2" xfId="0" applyFont="1" applyFill="1" applyBorder="1" applyAlignment="1">
      <alignment horizontal="center" vertical="center" wrapText="1"/>
    </xf>
    <xf numFmtId="0" fontId="30" fillId="8" borderId="3" xfId="0" applyFont="1" applyFill="1" applyBorder="1" applyAlignment="1">
      <alignment horizontal="center" vertical="center" wrapText="1"/>
    </xf>
    <xf numFmtId="0" fontId="31" fillId="8" borderId="19" xfId="0" applyFont="1" applyFill="1" applyBorder="1" applyAlignment="1">
      <alignment horizontal="left" vertical="center"/>
    </xf>
    <xf numFmtId="0" fontId="31" fillId="8" borderId="24" xfId="0" applyFont="1" applyFill="1" applyBorder="1" applyAlignment="1">
      <alignment horizontal="left" vertical="center"/>
    </xf>
    <xf numFmtId="4" fontId="33" fillId="8" borderId="28" xfId="0" applyNumberFormat="1" applyFont="1" applyFill="1" applyBorder="1" applyAlignment="1">
      <alignment horizontal="center" vertical="center"/>
    </xf>
    <xf numFmtId="4" fontId="33" fillId="8" borderId="3" xfId="0" applyNumberFormat="1" applyFont="1" applyFill="1" applyBorder="1" applyAlignment="1">
      <alignment horizontal="center" vertical="center"/>
    </xf>
    <xf numFmtId="0" fontId="36" fillId="10" borderId="28" xfId="0" applyFont="1" applyFill="1" applyBorder="1" applyAlignment="1">
      <alignment horizontal="center"/>
    </xf>
    <xf numFmtId="0" fontId="36" fillId="10" borderId="3" xfId="0" applyFont="1" applyFill="1" applyBorder="1" applyAlignment="1">
      <alignment horizontal="center"/>
    </xf>
    <xf numFmtId="0" fontId="35" fillId="8" borderId="28" xfId="0" applyFont="1" applyFill="1" applyBorder="1" applyAlignment="1">
      <alignment horizontal="center"/>
    </xf>
    <xf numFmtId="0" fontId="35" fillId="8" borderId="3" xfId="0" applyFont="1" applyFill="1" applyBorder="1" applyAlignment="1">
      <alignment horizontal="center"/>
    </xf>
    <xf numFmtId="0" fontId="31" fillId="10" borderId="2" xfId="0" applyFont="1" applyFill="1" applyBorder="1" applyAlignment="1">
      <alignment horizontal="left" vertical="center"/>
    </xf>
    <xf numFmtId="0" fontId="69" fillId="0" borderId="28" xfId="0" applyFont="1" applyBorder="1" applyAlignment="1">
      <alignment horizontal="center"/>
    </xf>
    <xf numFmtId="0" fontId="69" fillId="0" borderId="2" xfId="0" applyFont="1" applyBorder="1" applyAlignment="1">
      <alignment horizontal="center"/>
    </xf>
    <xf numFmtId="0" fontId="69" fillId="0" borderId="3" xfId="0" applyFont="1" applyBorder="1" applyAlignment="1">
      <alignment horizontal="center"/>
    </xf>
    <xf numFmtId="0" fontId="30" fillId="8" borderId="21" xfId="0" applyFont="1" applyFill="1" applyBorder="1" applyAlignment="1">
      <alignment horizontal="center" vertical="center" wrapText="1"/>
    </xf>
    <xf numFmtId="0" fontId="30" fillId="8" borderId="23" xfId="0" applyFont="1" applyFill="1" applyBorder="1" applyAlignment="1">
      <alignment horizontal="center" vertical="center" wrapText="1"/>
    </xf>
    <xf numFmtId="2" fontId="31" fillId="19" borderId="28" xfId="0" applyNumberFormat="1" applyFont="1" applyFill="1" applyBorder="1" applyAlignment="1">
      <alignment horizontal="center" vertical="center"/>
    </xf>
    <xf numFmtId="2" fontId="31" fillId="19" borderId="3" xfId="0" applyNumberFormat="1" applyFont="1" applyFill="1" applyBorder="1" applyAlignment="1">
      <alignment horizontal="center" vertical="center"/>
    </xf>
    <xf numFmtId="0" fontId="29" fillId="18" borderId="19" xfId="0" applyFont="1" applyFill="1" applyBorder="1" applyAlignment="1">
      <alignment horizontal="left" vertical="center"/>
    </xf>
    <xf numFmtId="0" fontId="29" fillId="18" borderId="24" xfId="0" applyFont="1" applyFill="1" applyBorder="1" applyAlignment="1">
      <alignment horizontal="left" vertical="center"/>
    </xf>
    <xf numFmtId="2" fontId="31" fillId="18" borderId="28" xfId="0" applyNumberFormat="1" applyFont="1" applyFill="1" applyBorder="1" applyAlignment="1">
      <alignment horizontal="center" vertical="center"/>
    </xf>
    <xf numFmtId="2" fontId="31" fillId="18" borderId="3" xfId="0" applyNumberFormat="1" applyFont="1" applyFill="1" applyBorder="1" applyAlignment="1">
      <alignment horizontal="center" vertical="center"/>
    </xf>
    <xf numFmtId="0" fontId="31" fillId="19" borderId="19" xfId="0" applyFont="1" applyFill="1" applyBorder="1" applyAlignment="1">
      <alignment horizontal="left" vertical="center"/>
    </xf>
    <xf numFmtId="0" fontId="31" fillId="19" borderId="24" xfId="0" applyFont="1" applyFill="1" applyBorder="1" applyAlignment="1">
      <alignment horizontal="left" vertical="center"/>
    </xf>
    <xf numFmtId="2" fontId="31" fillId="18" borderId="2" xfId="0" applyNumberFormat="1" applyFont="1" applyFill="1" applyBorder="1" applyAlignment="1">
      <alignment horizontal="center" vertical="center"/>
    </xf>
    <xf numFmtId="0" fontId="29" fillId="18" borderId="28" xfId="0" applyFont="1" applyFill="1" applyBorder="1" applyAlignment="1">
      <alignment horizontal="left" vertical="center"/>
    </xf>
    <xf numFmtId="0" fontId="29" fillId="18" borderId="3" xfId="0" applyFont="1" applyFill="1" applyBorder="1" applyAlignment="1">
      <alignment horizontal="left" vertical="center"/>
    </xf>
    <xf numFmtId="0" fontId="29" fillId="18" borderId="2" xfId="0" applyFont="1" applyFill="1" applyBorder="1" applyAlignment="1">
      <alignment horizontal="left" vertical="center"/>
    </xf>
    <xf numFmtId="0" fontId="31" fillId="18" borderId="28" xfId="0" applyFont="1" applyFill="1" applyBorder="1" applyAlignment="1">
      <alignment horizontal="left" vertical="center"/>
    </xf>
    <xf numFmtId="0" fontId="31" fillId="18" borderId="3" xfId="0" applyFont="1" applyFill="1" applyBorder="1" applyAlignment="1">
      <alignment horizontal="left" vertical="center"/>
    </xf>
    <xf numFmtId="0" fontId="31" fillId="18" borderId="2" xfId="0" applyFont="1" applyFill="1" applyBorder="1" applyAlignment="1">
      <alignment horizontal="left" vertical="center"/>
    </xf>
    <xf numFmtId="10" fontId="31" fillId="19" borderId="28" xfId="1" applyNumberFormat="1" applyFont="1" applyFill="1" applyBorder="1" applyAlignment="1">
      <alignment horizontal="center" vertical="center"/>
    </xf>
    <xf numFmtId="10" fontId="31" fillId="19" borderId="3" xfId="1" applyNumberFormat="1" applyFont="1" applyFill="1" applyBorder="1" applyAlignment="1">
      <alignment horizontal="center" vertical="center"/>
    </xf>
    <xf numFmtId="0" fontId="29" fillId="19" borderId="28" xfId="0" applyFont="1" applyFill="1" applyBorder="1" applyAlignment="1">
      <alignment horizontal="left" vertical="center"/>
    </xf>
    <xf numFmtId="0" fontId="29" fillId="19" borderId="3" xfId="0" applyFont="1" applyFill="1" applyBorder="1" applyAlignment="1">
      <alignment horizontal="left" vertical="center"/>
    </xf>
    <xf numFmtId="0" fontId="29" fillId="8" borderId="28" xfId="0" applyFont="1" applyFill="1" applyBorder="1" applyAlignment="1">
      <alignment horizontal="left" vertical="center"/>
    </xf>
    <xf numFmtId="0" fontId="29" fillId="8" borderId="3" xfId="0" applyFont="1" applyFill="1" applyBorder="1" applyAlignment="1">
      <alignment horizontal="left" vertical="center"/>
    </xf>
    <xf numFmtId="167" fontId="31" fillId="8" borderId="28" xfId="3" applyNumberFormat="1" applyFont="1" applyFill="1" applyBorder="1" applyAlignment="1">
      <alignment horizontal="center" vertical="center"/>
    </xf>
    <xf numFmtId="167" fontId="31" fillId="8" borderId="3" xfId="3" applyNumberFormat="1" applyFont="1" applyFill="1" applyBorder="1" applyAlignment="1">
      <alignment horizontal="center" vertical="center"/>
    </xf>
    <xf numFmtId="9" fontId="31" fillId="19" borderId="28" xfId="1" applyFont="1" applyFill="1" applyBorder="1" applyAlignment="1">
      <alignment horizontal="center" vertical="center"/>
    </xf>
    <xf numFmtId="9" fontId="31" fillId="19" borderId="3" xfId="1" applyFont="1" applyFill="1" applyBorder="1" applyAlignment="1">
      <alignment horizontal="center" vertical="center"/>
    </xf>
    <xf numFmtId="166" fontId="31" fillId="8" borderId="28" xfId="3" applyNumberFormat="1" applyFont="1" applyFill="1" applyBorder="1" applyAlignment="1">
      <alignment horizontal="center" vertical="center"/>
    </xf>
    <xf numFmtId="166" fontId="31" fillId="8" borderId="3" xfId="3" applyNumberFormat="1" applyFont="1" applyFill="1" applyBorder="1" applyAlignment="1">
      <alignment horizontal="center" vertical="center"/>
    </xf>
    <xf numFmtId="42" fontId="31" fillId="8" borderId="28" xfId="1" applyNumberFormat="1" applyFont="1" applyFill="1" applyBorder="1" applyAlignment="1">
      <alignment horizontal="center" vertical="center"/>
    </xf>
    <xf numFmtId="0" fontId="3" fillId="20" borderId="19" xfId="0" applyFont="1" applyFill="1" applyBorder="1" applyAlignment="1">
      <alignment horizontal="center"/>
    </xf>
    <xf numFmtId="0" fontId="3" fillId="20" borderId="20" xfId="0" applyFont="1" applyFill="1" applyBorder="1" applyAlignment="1">
      <alignment horizontal="center"/>
    </xf>
    <xf numFmtId="0" fontId="3" fillId="20" borderId="21" xfId="0" applyFont="1" applyFill="1" applyBorder="1" applyAlignment="1">
      <alignment horizontal="center"/>
    </xf>
    <xf numFmtId="0" fontId="3" fillId="20" borderId="22" xfId="0" applyFont="1" applyFill="1" applyBorder="1" applyAlignment="1">
      <alignment horizontal="center"/>
    </xf>
    <xf numFmtId="0" fontId="3" fillId="20" borderId="0" xfId="0" applyFont="1" applyFill="1" applyBorder="1" applyAlignment="1">
      <alignment horizontal="center"/>
    </xf>
    <xf numFmtId="0" fontId="3" fillId="20" borderId="23" xfId="0" applyFont="1" applyFill="1" applyBorder="1" applyAlignment="1">
      <alignment horizontal="center"/>
    </xf>
    <xf numFmtId="0" fontId="43" fillId="0" borderId="0" xfId="7" applyFont="1" applyAlignment="1">
      <alignment horizontal="center" vertical="top" wrapText="1"/>
    </xf>
    <xf numFmtId="0" fontId="44" fillId="0" borderId="0" xfId="7" applyFont="1" applyAlignment="1">
      <alignment horizontal="center" vertical="top" wrapText="1"/>
    </xf>
    <xf numFmtId="0" fontId="47" fillId="0" borderId="0" xfId="0" applyFont="1" applyAlignment="1">
      <alignment horizontal="center" vertical="top" wrapText="1"/>
    </xf>
    <xf numFmtId="0" fontId="52" fillId="21" borderId="0" xfId="0" applyFont="1" applyFill="1" applyAlignment="1">
      <alignment horizontal="center" vertical="top"/>
    </xf>
    <xf numFmtId="0" fontId="56" fillId="0" borderId="0" xfId="7" applyFont="1" applyAlignment="1">
      <alignment horizontal="center" vertical="top" wrapText="1"/>
    </xf>
    <xf numFmtId="0" fontId="50" fillId="0" borderId="0" xfId="7" applyFont="1" applyAlignment="1">
      <alignment horizontal="center" vertical="top" wrapText="1"/>
    </xf>
    <xf numFmtId="0" fontId="61" fillId="0" borderId="0" xfId="7" applyFont="1" applyAlignment="1">
      <alignment horizontal="center" vertical="top" wrapText="1"/>
    </xf>
    <xf numFmtId="0" fontId="42" fillId="0" borderId="0" xfId="7" applyAlignment="1">
      <alignment horizontal="center" vertical="top" wrapText="1"/>
    </xf>
    <xf numFmtId="0" fontId="17" fillId="7" borderId="0" xfId="0" applyFont="1" applyFill="1" applyAlignment="1">
      <alignment horizontal="center" vertical="center" wrapText="1"/>
    </xf>
  </cellXfs>
  <cellStyles count="10">
    <cellStyle name="Millares [0] 2" xfId="2" xr:uid="{00000000-0005-0000-0000-000000000000}"/>
    <cellStyle name="Millares 2" xfId="6" xr:uid="{00000000-0005-0000-0000-000001000000}"/>
    <cellStyle name="Moneda" xfId="4" builtinId="4"/>
    <cellStyle name="Moneda [0]" xfId="3" builtinId="7"/>
    <cellStyle name="Moneda 2" xfId="8" xr:uid="{00000000-0005-0000-0000-000004000000}"/>
    <cellStyle name="Moneda 2 2" xfId="9" xr:uid="{00000000-0005-0000-0000-000005000000}"/>
    <cellStyle name="Normal" xfId="0" builtinId="0"/>
    <cellStyle name="Normal 2" xfId="5" xr:uid="{00000000-0005-0000-0000-000007000000}"/>
    <cellStyle name="Normal 2 2" xfId="7" xr:uid="{00000000-0005-0000-0000-000008000000}"/>
    <cellStyle name="Porcentaje" xfId="1" builtinId="5"/>
  </cellStyles>
  <dxfs count="0"/>
  <tableStyles count="0" defaultTableStyle="TableStyleMedium2" defaultPivotStyle="PivotStyleLight16"/>
  <colors>
    <mruColors>
      <color rgb="FFFFFF66"/>
      <color rgb="FFFFCC99"/>
      <color rgb="FFFAD5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Análisis Horizontal del Balance </a:t>
            </a:r>
          </a:p>
        </c:rich>
      </c:tx>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'Análisis Horizontal'!$B$48</c:f>
              <c:strCache>
                <c:ptCount val="1"/>
                <c:pt idx="0">
                  <c:v>2015</c:v>
                </c:pt>
              </c:strCache>
            </c:strRef>
          </c:tx>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'Análisis Horizontal'!$A$49:$A$51</c:f>
              <c:strCache>
                <c:ptCount val="3"/>
                <c:pt idx="0">
                  <c:v>TOTAL ACTIVO</c:v>
                </c:pt>
                <c:pt idx="1">
                  <c:v>TOTAL PASIVOS</c:v>
                </c:pt>
                <c:pt idx="2">
                  <c:v>TOTAL PATRIMONIO</c:v>
                </c:pt>
              </c:strCache>
            </c:strRef>
          </c:cat>
          <c:val>
            <c:numRef>
              <c:f>'Análisis Horizontal'!$B$49:$B$51</c:f>
              <c:numCache>
                <c:formatCode>#,##0,,</c:formatCode>
                <c:ptCount val="3"/>
                <c:pt idx="0">
                  <c:v>384293152</c:v>
                </c:pt>
                <c:pt idx="1">
                  <c:v>368558302</c:v>
                </c:pt>
                <c:pt idx="2">
                  <c:v>15734849</c:v>
                </c:pt>
              </c:numCache>
            </c:numRef>
          </c:val>
          <c:extLst>
            <c:ext xmlns:c16="http://schemas.microsoft.com/office/drawing/2014/chart" uri="{C3380CC4-5D6E-409C-BE32-E72D297353CC}">
              <c16:uniqueId val="{00000000-9F32-4BB7-99AA-DA3D17080CEB}"/>
            </c:ext>
          </c:extLst>
        </c:ser>
        <c:ser>
          <c:idx val="1"/>
          <c:order val="1"/>
          <c:tx>
            <c:strRef>
              <c:f>'Análisis Horizontal'!$C$48</c:f>
              <c:strCache>
                <c:ptCount val="1"/>
                <c:pt idx="0">
                  <c:v>2016</c:v>
                </c:pt>
              </c:strCache>
            </c:strRef>
          </c:tx>
          <c:spPr>
            <a:solidFill>
              <a:schemeClr val="accent2"/>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'Análisis Horizontal'!$A$49:$A$51</c:f>
              <c:strCache>
                <c:ptCount val="3"/>
                <c:pt idx="0">
                  <c:v>TOTAL ACTIVO</c:v>
                </c:pt>
                <c:pt idx="1">
                  <c:v>TOTAL PASIVOS</c:v>
                </c:pt>
                <c:pt idx="2">
                  <c:v>TOTAL PATRIMONIO</c:v>
                </c:pt>
              </c:strCache>
            </c:strRef>
          </c:cat>
          <c:val>
            <c:numRef>
              <c:f>'Análisis Horizontal'!$C$49:$C$51</c:f>
              <c:numCache>
                <c:formatCode>#,##0,,</c:formatCode>
                <c:ptCount val="3"/>
                <c:pt idx="0">
                  <c:v>479951794</c:v>
                </c:pt>
                <c:pt idx="1">
                  <c:v>307226884</c:v>
                </c:pt>
                <c:pt idx="2">
                  <c:v>172724910</c:v>
                </c:pt>
              </c:numCache>
            </c:numRef>
          </c:val>
          <c:extLst>
            <c:ext xmlns:c16="http://schemas.microsoft.com/office/drawing/2014/chart" uri="{C3380CC4-5D6E-409C-BE32-E72D297353CC}">
              <c16:uniqueId val="{00000001-9F32-4BB7-99AA-DA3D17080CEB}"/>
            </c:ext>
          </c:extLst>
        </c:ser>
        <c:ser>
          <c:idx val="2"/>
          <c:order val="2"/>
          <c:tx>
            <c:strRef>
              <c:f>'Análisis Horizontal'!$D$48</c:f>
              <c:strCache>
                <c:ptCount val="1"/>
                <c:pt idx="0">
                  <c:v>2017</c:v>
                </c:pt>
              </c:strCache>
            </c:strRef>
          </c:tx>
          <c:spPr>
            <a:solidFill>
              <a:schemeClr val="accent3"/>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'Análisis Horizontal'!$A$49:$A$51</c:f>
              <c:strCache>
                <c:ptCount val="3"/>
                <c:pt idx="0">
                  <c:v>TOTAL ACTIVO</c:v>
                </c:pt>
                <c:pt idx="1">
                  <c:v>TOTAL PASIVOS</c:v>
                </c:pt>
                <c:pt idx="2">
                  <c:v>TOTAL PATRIMONIO</c:v>
                </c:pt>
              </c:strCache>
            </c:strRef>
          </c:cat>
          <c:val>
            <c:numRef>
              <c:f>'Análisis Horizontal'!$D$49:$D$51</c:f>
              <c:numCache>
                <c:formatCode>#,##0,,</c:formatCode>
                <c:ptCount val="3"/>
                <c:pt idx="0">
                  <c:v>510626363</c:v>
                </c:pt>
                <c:pt idx="1">
                  <c:v>390274036</c:v>
                </c:pt>
                <c:pt idx="2">
                  <c:v>120352327</c:v>
                </c:pt>
              </c:numCache>
            </c:numRef>
          </c:val>
          <c:extLst>
            <c:ext xmlns:c16="http://schemas.microsoft.com/office/drawing/2014/chart" uri="{C3380CC4-5D6E-409C-BE32-E72D297353CC}">
              <c16:uniqueId val="{00000003-9F32-4BB7-99AA-DA3D17080CEB}"/>
            </c:ext>
          </c:extLst>
        </c:ser>
        <c:ser>
          <c:idx val="3"/>
          <c:order val="3"/>
          <c:tx>
            <c:strRef>
              <c:f>'Análisis Horizontal'!$E$48</c:f>
              <c:strCache>
                <c:ptCount val="1"/>
                <c:pt idx="0">
                  <c:v>2018</c:v>
                </c:pt>
              </c:strCache>
            </c:strRef>
          </c:tx>
          <c:spPr>
            <a:solidFill>
              <a:schemeClr val="accent4"/>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'Análisis Horizontal'!$A$49:$A$51</c:f>
              <c:strCache>
                <c:ptCount val="3"/>
                <c:pt idx="0">
                  <c:v>TOTAL ACTIVO</c:v>
                </c:pt>
                <c:pt idx="1">
                  <c:v>TOTAL PASIVOS</c:v>
                </c:pt>
                <c:pt idx="2">
                  <c:v>TOTAL PATRIMONIO</c:v>
                </c:pt>
              </c:strCache>
            </c:strRef>
          </c:cat>
          <c:val>
            <c:numRef>
              <c:f>'Análisis Horizontal'!$E$49:$E$51</c:f>
              <c:numCache>
                <c:formatCode>#,##0,,</c:formatCode>
                <c:ptCount val="3"/>
                <c:pt idx="0">
                  <c:v>718326106</c:v>
                </c:pt>
                <c:pt idx="1">
                  <c:v>626147878</c:v>
                </c:pt>
                <c:pt idx="2">
                  <c:v>92178229</c:v>
                </c:pt>
              </c:numCache>
            </c:numRef>
          </c:val>
          <c:extLst>
            <c:ext xmlns:c16="http://schemas.microsoft.com/office/drawing/2014/chart" uri="{C3380CC4-5D6E-409C-BE32-E72D297353CC}">
              <c16:uniqueId val="{00000004-9F32-4BB7-99AA-DA3D17080CEB}"/>
            </c:ext>
          </c:extLst>
        </c:ser>
        <c:ser>
          <c:idx val="4"/>
          <c:order val="4"/>
          <c:tx>
            <c:strRef>
              <c:f>'Análisis Horizontal'!$F$48</c:f>
              <c:strCache>
                <c:ptCount val="1"/>
                <c:pt idx="0">
                  <c:v>2019</c:v>
                </c:pt>
              </c:strCache>
            </c:strRef>
          </c:tx>
          <c:spPr>
            <a:solidFill>
              <a:schemeClr val="accent5"/>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'Análisis Horizontal'!$A$49:$A$51</c:f>
              <c:strCache>
                <c:ptCount val="3"/>
                <c:pt idx="0">
                  <c:v>TOTAL ACTIVO</c:v>
                </c:pt>
                <c:pt idx="1">
                  <c:v>TOTAL PASIVOS</c:v>
                </c:pt>
                <c:pt idx="2">
                  <c:v>TOTAL PATRIMONIO</c:v>
                </c:pt>
              </c:strCache>
            </c:strRef>
          </c:cat>
          <c:val>
            <c:numRef>
              <c:f>'Análisis Horizontal'!$F$49:$F$51</c:f>
              <c:numCache>
                <c:formatCode>#,##0,,</c:formatCode>
                <c:ptCount val="3"/>
                <c:pt idx="0">
                  <c:v>738195504</c:v>
                </c:pt>
                <c:pt idx="1">
                  <c:v>543936197</c:v>
                </c:pt>
                <c:pt idx="2">
                  <c:v>194259083</c:v>
                </c:pt>
              </c:numCache>
            </c:numRef>
          </c:val>
          <c:extLst>
            <c:ext xmlns:c16="http://schemas.microsoft.com/office/drawing/2014/chart" uri="{C3380CC4-5D6E-409C-BE32-E72D297353CC}">
              <c16:uniqueId val="{00000005-9F32-4BB7-99AA-DA3D17080CEB}"/>
            </c:ext>
          </c:extLst>
        </c:ser>
        <c:ser>
          <c:idx val="5"/>
          <c:order val="5"/>
          <c:tx>
            <c:strRef>
              <c:f>'Análisis Horizontal'!$G$48</c:f>
              <c:strCache>
                <c:ptCount val="1"/>
                <c:pt idx="0">
                  <c:v>2020</c:v>
                </c:pt>
              </c:strCache>
            </c:strRef>
          </c:tx>
          <c:spPr>
            <a:solidFill>
              <a:schemeClr val="accent6"/>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'Análisis Horizontal'!$A$49:$A$51</c:f>
              <c:strCache>
                <c:ptCount val="3"/>
                <c:pt idx="0">
                  <c:v>TOTAL ACTIVO</c:v>
                </c:pt>
                <c:pt idx="1">
                  <c:v>TOTAL PASIVOS</c:v>
                </c:pt>
                <c:pt idx="2">
                  <c:v>TOTAL PATRIMONIO</c:v>
                </c:pt>
              </c:strCache>
            </c:strRef>
          </c:cat>
          <c:val>
            <c:numRef>
              <c:f>'Análisis Horizontal'!$G$49:$G$51</c:f>
              <c:numCache>
                <c:formatCode>#,##0,,</c:formatCode>
                <c:ptCount val="3"/>
                <c:pt idx="0">
                  <c:v>983266719</c:v>
                </c:pt>
                <c:pt idx="1">
                  <c:v>554583236</c:v>
                </c:pt>
                <c:pt idx="2">
                  <c:v>428683483</c:v>
                </c:pt>
              </c:numCache>
            </c:numRef>
          </c:val>
          <c:extLst>
            <c:ext xmlns:c16="http://schemas.microsoft.com/office/drawing/2014/chart" uri="{C3380CC4-5D6E-409C-BE32-E72D297353CC}">
              <c16:uniqueId val="{00000006-9F32-4BB7-99AA-DA3D17080CEB}"/>
            </c:ext>
          </c:extLst>
        </c:ser>
        <c:dLbls>
          <c:showLegendKey val="0"/>
          <c:showVal val="1"/>
          <c:showCatName val="0"/>
          <c:showSerName val="0"/>
          <c:showPercent val="0"/>
          <c:showBubbleSize val="0"/>
        </c:dLbls>
        <c:gapWidth val="150"/>
        <c:shape val="box"/>
        <c:axId val="130947584"/>
        <c:axId val="213249984"/>
        <c:axId val="0"/>
      </c:bar3DChart>
      <c:catAx>
        <c:axId val="13094758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3249984"/>
        <c:crosses val="autoZero"/>
        <c:auto val="1"/>
        <c:lblAlgn val="ctr"/>
        <c:lblOffset val="100"/>
        <c:noMultiLvlLbl val="0"/>
      </c:catAx>
      <c:valAx>
        <c:axId val="213249984"/>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309475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Gráficas!$B$27</c:f>
              <c:strCache>
                <c:ptCount val="1"/>
                <c:pt idx="0">
                  <c:v>Endeudamiento</c:v>
                </c:pt>
              </c:strCache>
            </c:strRef>
          </c:tx>
          <c:spPr>
            <a:solidFill>
              <a:schemeClr val="accent1">
                <a:alpha val="85000"/>
              </a:schemeClr>
            </a:solidFill>
            <a:ln w="9525" cap="flat" cmpd="sng" algn="ctr">
              <a:solidFill>
                <a:schemeClr val="accent1">
                  <a:lumMod val="75000"/>
                </a:schemeClr>
              </a:solidFill>
              <a:round/>
            </a:ln>
            <a:effectLst/>
            <a:sp3d contourW="9525">
              <a:contourClr>
                <a:schemeClr val="accent1">
                  <a:lumMod val="75000"/>
                </a:schemeClr>
              </a:contourClr>
            </a:sp3d>
          </c:spPr>
          <c:invertIfNegative val="0"/>
          <c:cat>
            <c:numRef>
              <c:f>Gráficas!$F$26:$H$26</c:f>
              <c:numCache>
                <c:formatCode>General</c:formatCode>
                <c:ptCount val="3"/>
                <c:pt idx="0">
                  <c:v>2018</c:v>
                </c:pt>
                <c:pt idx="1">
                  <c:v>2019</c:v>
                </c:pt>
                <c:pt idx="2">
                  <c:v>2020</c:v>
                </c:pt>
              </c:numCache>
            </c:numRef>
          </c:cat>
          <c:val>
            <c:numRef>
              <c:f>Gráficas!$F$27:$H$27</c:f>
              <c:numCache>
                <c:formatCode>0.00</c:formatCode>
                <c:ptCount val="3"/>
                <c:pt idx="0">
                  <c:v>0.87167634973856845</c:v>
                </c:pt>
                <c:pt idx="1">
                  <c:v>0.73684571912537689</c:v>
                </c:pt>
                <c:pt idx="2">
                  <c:v>0.56402116056975993</c:v>
                </c:pt>
              </c:numCache>
            </c:numRef>
          </c:val>
          <c:extLst>
            <c:ext xmlns:c16="http://schemas.microsoft.com/office/drawing/2014/chart" uri="{C3380CC4-5D6E-409C-BE32-E72D297353CC}">
              <c16:uniqueId val="{00000000-9558-4094-8AF4-72D58CB3E136}"/>
            </c:ext>
          </c:extLst>
        </c:ser>
        <c:dLbls>
          <c:showLegendKey val="0"/>
          <c:showVal val="0"/>
          <c:showCatName val="0"/>
          <c:showSerName val="0"/>
          <c:showPercent val="0"/>
          <c:showBubbleSize val="0"/>
        </c:dLbls>
        <c:gapWidth val="65"/>
        <c:shape val="box"/>
        <c:axId val="217842688"/>
        <c:axId val="216180992"/>
        <c:axId val="0"/>
        <c:extLst>
          <c:ext xmlns:c15="http://schemas.microsoft.com/office/drawing/2012/chart" uri="{02D57815-91ED-43cb-92C2-25804820EDAC}">
            <c15:filteredBarSeries>
              <c15:ser>
                <c:idx val="1"/>
                <c:order val="1"/>
                <c:tx>
                  <c:strRef>
                    <c:extLst>
                      <c:ext uri="{02D57815-91ED-43cb-92C2-25804820EDAC}">
                        <c15:formulaRef>
                          <c15:sqref>Gráficas!$B$28</c15:sqref>
                        </c15:formulaRef>
                      </c:ext>
                    </c:extLst>
                    <c:strCache>
                      <c:ptCount val="1"/>
                    </c:strCache>
                  </c:strRef>
                </c:tx>
                <c:spPr>
                  <a:solidFill>
                    <a:schemeClr val="accent2">
                      <a:alpha val="85000"/>
                    </a:schemeClr>
                  </a:solidFill>
                  <a:ln w="9525" cap="flat" cmpd="sng" algn="ctr">
                    <a:solidFill>
                      <a:schemeClr val="accent2">
                        <a:lumMod val="75000"/>
                      </a:schemeClr>
                    </a:solidFill>
                    <a:round/>
                  </a:ln>
                  <a:effectLst/>
                  <a:sp3d contourW="9525">
                    <a:contourClr>
                      <a:schemeClr val="accent2">
                        <a:lumMod val="75000"/>
                      </a:schemeClr>
                    </a:contourClr>
                  </a:sp3d>
                </c:spPr>
                <c:invertIfNegative val="0"/>
                <c:cat>
                  <c:numRef>
                    <c:extLst>
                      <c:ext uri="{02D57815-91ED-43cb-92C2-25804820EDAC}">
                        <c15:formulaRef>
                          <c15:sqref>Gráficas!$F$26:$H$26</c15:sqref>
                        </c15:formulaRef>
                      </c:ext>
                    </c:extLst>
                    <c:numCache>
                      <c:formatCode>General</c:formatCode>
                      <c:ptCount val="3"/>
                      <c:pt idx="0">
                        <c:v>2018</c:v>
                      </c:pt>
                      <c:pt idx="1">
                        <c:v>2019</c:v>
                      </c:pt>
                      <c:pt idx="2">
                        <c:v>2020</c:v>
                      </c:pt>
                    </c:numCache>
                  </c:numRef>
                </c:cat>
                <c:val>
                  <c:numRef>
                    <c:extLst>
                      <c:ext uri="{02D57815-91ED-43cb-92C2-25804820EDAC}">
                        <c15:formulaRef>
                          <c15:sqref>Gráficas!$F$28:$H$28</c15:sqref>
                        </c15:formulaRef>
                      </c:ext>
                    </c:extLst>
                    <c:numCache>
                      <c:formatCode>0.00</c:formatCode>
                      <c:ptCount val="3"/>
                    </c:numCache>
                  </c:numRef>
                </c:val>
                <c:extLst>
                  <c:ext xmlns:c16="http://schemas.microsoft.com/office/drawing/2014/chart" uri="{C3380CC4-5D6E-409C-BE32-E72D297353CC}">
                    <c16:uniqueId val="{00000003-9558-4094-8AF4-72D58CB3E136}"/>
                  </c:ext>
                </c:extLst>
              </c15:ser>
            </c15:filteredBarSeries>
          </c:ext>
        </c:extLst>
      </c:bar3DChart>
      <c:catAx>
        <c:axId val="21784268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6180992"/>
        <c:crosses val="autoZero"/>
        <c:auto val="1"/>
        <c:lblAlgn val="ctr"/>
        <c:lblOffset val="100"/>
        <c:noMultiLvlLbl val="0"/>
      </c:catAx>
      <c:valAx>
        <c:axId val="216180992"/>
        <c:scaling>
          <c:orientation val="minMax"/>
        </c:scaling>
        <c:delete val="0"/>
        <c:axPos val="l"/>
        <c:majorGridlines>
          <c:spPr>
            <a:ln w="9525" cap="flat" cmpd="sng" algn="ctr">
              <a:solidFill>
                <a:schemeClr val="dk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crossAx val="217842688"/>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Gráficas!$B$30</c:f>
              <c:strCache>
                <c:ptCount val="1"/>
                <c:pt idx="0">
                  <c:v>Apalancamiento </c:v>
                </c:pt>
              </c:strCache>
            </c:strRef>
          </c:tx>
          <c:spPr>
            <a:solidFill>
              <a:schemeClr val="accent1">
                <a:shade val="76000"/>
                <a:alpha val="85000"/>
              </a:schemeClr>
            </a:solidFill>
            <a:ln w="9525" cap="flat" cmpd="sng" algn="ctr">
              <a:solidFill>
                <a:schemeClr val="accent1">
                  <a:shade val="76000"/>
                  <a:lumMod val="75000"/>
                </a:schemeClr>
              </a:solidFill>
              <a:round/>
            </a:ln>
            <a:effectLst/>
            <a:sp3d contourW="9525">
              <a:contourClr>
                <a:schemeClr val="accent1">
                  <a:shade val="76000"/>
                  <a:lumMod val="75000"/>
                </a:schemeClr>
              </a:contourClr>
            </a:sp3d>
          </c:spPr>
          <c:invertIfNegative val="0"/>
          <c:cat>
            <c:numRef>
              <c:f>Gráficas!$F$29:$H$29</c:f>
              <c:numCache>
                <c:formatCode>General</c:formatCode>
                <c:ptCount val="3"/>
                <c:pt idx="0">
                  <c:v>2018</c:v>
                </c:pt>
                <c:pt idx="1">
                  <c:v>2019</c:v>
                </c:pt>
                <c:pt idx="2">
                  <c:v>2020</c:v>
                </c:pt>
              </c:numCache>
            </c:numRef>
          </c:cat>
          <c:val>
            <c:numRef>
              <c:f>Gráficas!$F$30:$H$30</c:f>
              <c:numCache>
                <c:formatCode>0.00</c:formatCode>
                <c:ptCount val="3"/>
                <c:pt idx="0">
                  <c:v>7.7927956936556031</c:v>
                </c:pt>
                <c:pt idx="1">
                  <c:v>3.3370333468519027</c:v>
                </c:pt>
                <c:pt idx="2">
                  <c:v>2.1753865587809025</c:v>
                </c:pt>
              </c:numCache>
            </c:numRef>
          </c:val>
          <c:extLst>
            <c:ext xmlns:c16="http://schemas.microsoft.com/office/drawing/2014/chart" uri="{C3380CC4-5D6E-409C-BE32-E72D297353CC}">
              <c16:uniqueId val="{00000000-598B-4C3D-B5BC-9EE829A8D70C}"/>
            </c:ext>
          </c:extLst>
        </c:ser>
        <c:dLbls>
          <c:showLegendKey val="0"/>
          <c:showVal val="0"/>
          <c:showCatName val="0"/>
          <c:showSerName val="0"/>
          <c:showPercent val="0"/>
          <c:showBubbleSize val="0"/>
        </c:dLbls>
        <c:gapWidth val="65"/>
        <c:shape val="box"/>
        <c:axId val="217843712"/>
        <c:axId val="216183296"/>
        <c:axId val="0"/>
        <c:extLst>
          <c:ext xmlns:c15="http://schemas.microsoft.com/office/drawing/2012/chart" uri="{02D57815-91ED-43cb-92C2-25804820EDAC}">
            <c15:filteredBarSeries>
              <c15:ser>
                <c:idx val="1"/>
                <c:order val="1"/>
                <c:tx>
                  <c:strRef>
                    <c:extLst>
                      <c:ext uri="{02D57815-91ED-43cb-92C2-25804820EDAC}">
                        <c15:formulaRef>
                          <c15:sqref>Gráficas!$B$31</c15:sqref>
                        </c15:formulaRef>
                      </c:ext>
                    </c:extLst>
                    <c:strCache>
                      <c:ptCount val="1"/>
                    </c:strCache>
                  </c:strRef>
                </c:tx>
                <c:spPr>
                  <a:solidFill>
                    <a:schemeClr val="accent1">
                      <a:tint val="77000"/>
                      <a:alpha val="85000"/>
                    </a:schemeClr>
                  </a:solidFill>
                  <a:ln w="9525" cap="flat" cmpd="sng" algn="ctr">
                    <a:solidFill>
                      <a:schemeClr val="accent1">
                        <a:tint val="77000"/>
                        <a:lumMod val="75000"/>
                      </a:schemeClr>
                    </a:solidFill>
                    <a:round/>
                  </a:ln>
                  <a:effectLst/>
                  <a:sp3d contourW="9525">
                    <a:contourClr>
                      <a:schemeClr val="accent1">
                        <a:tint val="77000"/>
                        <a:lumMod val="75000"/>
                      </a:schemeClr>
                    </a:contourClr>
                  </a:sp3d>
                </c:spPr>
                <c:invertIfNegative val="0"/>
                <c:cat>
                  <c:numRef>
                    <c:extLst>
                      <c:ext uri="{02D57815-91ED-43cb-92C2-25804820EDAC}">
                        <c15:formulaRef>
                          <c15:sqref>Gráficas!$F$29:$H$29</c15:sqref>
                        </c15:formulaRef>
                      </c:ext>
                    </c:extLst>
                    <c:numCache>
                      <c:formatCode>General</c:formatCode>
                      <c:ptCount val="3"/>
                      <c:pt idx="0">
                        <c:v>2018</c:v>
                      </c:pt>
                      <c:pt idx="1">
                        <c:v>2019</c:v>
                      </c:pt>
                      <c:pt idx="2">
                        <c:v>2020</c:v>
                      </c:pt>
                    </c:numCache>
                  </c:numRef>
                </c:cat>
                <c:val>
                  <c:numRef>
                    <c:extLst>
                      <c:ext uri="{02D57815-91ED-43cb-92C2-25804820EDAC}">
                        <c15:formulaRef>
                          <c15:sqref>Gráficas!$F$31:$H$31</c15:sqref>
                        </c15:formulaRef>
                      </c:ext>
                    </c:extLst>
                    <c:numCache>
                      <c:formatCode>0.00</c:formatCode>
                      <c:ptCount val="3"/>
                    </c:numCache>
                  </c:numRef>
                </c:val>
                <c:extLst>
                  <c:ext xmlns:c16="http://schemas.microsoft.com/office/drawing/2014/chart" uri="{C3380CC4-5D6E-409C-BE32-E72D297353CC}">
                    <c16:uniqueId val="{00000003-598B-4C3D-B5BC-9EE829A8D70C}"/>
                  </c:ext>
                </c:extLst>
              </c15:ser>
            </c15:filteredBarSeries>
          </c:ext>
        </c:extLst>
      </c:bar3DChart>
      <c:catAx>
        <c:axId val="217843712"/>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6183296"/>
        <c:crosses val="autoZero"/>
        <c:auto val="1"/>
        <c:lblAlgn val="ctr"/>
        <c:lblOffset val="100"/>
        <c:noMultiLvlLbl val="0"/>
      </c:catAx>
      <c:valAx>
        <c:axId val="216183296"/>
        <c:scaling>
          <c:orientation val="minMax"/>
        </c:scaling>
        <c:delete val="0"/>
        <c:axPos val="l"/>
        <c:majorGridlines>
          <c:spPr>
            <a:ln w="9525" cap="flat" cmpd="sng" algn="ctr">
              <a:solidFill>
                <a:schemeClr val="dk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crossAx val="217843712"/>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Gráficas!$B$33</c:f>
              <c:strCache>
                <c:ptCount val="1"/>
                <c:pt idx="0">
                  <c:v>Razón de endeudamiento</c:v>
                </c:pt>
              </c:strCache>
            </c:strRef>
          </c:tx>
          <c:spPr>
            <a:solidFill>
              <a:schemeClr val="accent1">
                <a:alpha val="85000"/>
              </a:schemeClr>
            </a:solidFill>
            <a:ln w="9525" cap="flat" cmpd="sng" algn="ctr">
              <a:solidFill>
                <a:schemeClr val="accent1">
                  <a:lumMod val="75000"/>
                </a:schemeClr>
              </a:solidFill>
              <a:round/>
            </a:ln>
            <a:effectLst/>
            <a:sp3d contourW="9525">
              <a:contourClr>
                <a:schemeClr val="accent1">
                  <a:lumMod val="75000"/>
                </a:schemeClr>
              </a:contourClr>
            </a:sp3d>
          </c:spPr>
          <c:invertIfNegative val="0"/>
          <c:cat>
            <c:numRef>
              <c:f>Gráficas!$F$32:$H$32</c:f>
              <c:numCache>
                <c:formatCode>General</c:formatCode>
                <c:ptCount val="3"/>
                <c:pt idx="0">
                  <c:v>2018</c:v>
                </c:pt>
                <c:pt idx="1">
                  <c:v>2019</c:v>
                </c:pt>
                <c:pt idx="2">
                  <c:v>2020</c:v>
                </c:pt>
              </c:numCache>
            </c:numRef>
          </c:cat>
          <c:val>
            <c:numRef>
              <c:f>Gráficas!$F$33:$H$33</c:f>
              <c:numCache>
                <c:formatCode>0.00</c:formatCode>
                <c:ptCount val="3"/>
                <c:pt idx="0">
                  <c:v>6.7927957045041518</c:v>
                </c:pt>
                <c:pt idx="1">
                  <c:v>2.8000554136251123</c:v>
                </c:pt>
                <c:pt idx="2">
                  <c:v>1.2936893022304756</c:v>
                </c:pt>
              </c:numCache>
            </c:numRef>
          </c:val>
          <c:extLst>
            <c:ext xmlns:c16="http://schemas.microsoft.com/office/drawing/2014/chart" uri="{C3380CC4-5D6E-409C-BE32-E72D297353CC}">
              <c16:uniqueId val="{00000000-851A-4411-89CF-4E20C61A75AA}"/>
            </c:ext>
          </c:extLst>
        </c:ser>
        <c:dLbls>
          <c:showLegendKey val="0"/>
          <c:showVal val="0"/>
          <c:showCatName val="0"/>
          <c:showSerName val="0"/>
          <c:showPercent val="0"/>
          <c:showBubbleSize val="0"/>
        </c:dLbls>
        <c:gapWidth val="65"/>
        <c:shape val="box"/>
        <c:axId val="217784320"/>
        <c:axId val="216185600"/>
        <c:axId val="0"/>
        <c:extLst>
          <c:ext xmlns:c15="http://schemas.microsoft.com/office/drawing/2012/chart" uri="{02D57815-91ED-43cb-92C2-25804820EDAC}">
            <c15:filteredBarSeries>
              <c15:ser>
                <c:idx val="1"/>
                <c:order val="1"/>
                <c:tx>
                  <c:strRef>
                    <c:extLst>
                      <c:ext uri="{02D57815-91ED-43cb-92C2-25804820EDAC}">
                        <c15:formulaRef>
                          <c15:sqref>Gráficas!$B$34</c15:sqref>
                        </c15:formulaRef>
                      </c:ext>
                    </c:extLst>
                    <c:strCache>
                      <c:ptCount val="1"/>
                    </c:strCache>
                  </c:strRef>
                </c:tx>
                <c:spPr>
                  <a:solidFill>
                    <a:schemeClr val="accent2">
                      <a:alpha val="85000"/>
                    </a:schemeClr>
                  </a:solidFill>
                  <a:ln w="9525" cap="flat" cmpd="sng" algn="ctr">
                    <a:solidFill>
                      <a:schemeClr val="accent2">
                        <a:lumMod val="75000"/>
                      </a:schemeClr>
                    </a:solidFill>
                    <a:round/>
                  </a:ln>
                  <a:effectLst/>
                  <a:sp3d contourW="9525">
                    <a:contourClr>
                      <a:schemeClr val="accent2">
                        <a:lumMod val="75000"/>
                      </a:schemeClr>
                    </a:contourClr>
                  </a:sp3d>
                </c:spPr>
                <c:invertIfNegative val="0"/>
                <c:cat>
                  <c:numRef>
                    <c:extLst>
                      <c:ext uri="{02D57815-91ED-43cb-92C2-25804820EDAC}">
                        <c15:formulaRef>
                          <c15:sqref>Gráficas!$F$32:$H$32</c15:sqref>
                        </c15:formulaRef>
                      </c:ext>
                    </c:extLst>
                    <c:numCache>
                      <c:formatCode>General</c:formatCode>
                      <c:ptCount val="3"/>
                      <c:pt idx="0">
                        <c:v>2018</c:v>
                      </c:pt>
                      <c:pt idx="1">
                        <c:v>2019</c:v>
                      </c:pt>
                      <c:pt idx="2">
                        <c:v>2020</c:v>
                      </c:pt>
                    </c:numCache>
                  </c:numRef>
                </c:cat>
                <c:val>
                  <c:numRef>
                    <c:extLst>
                      <c:ext uri="{02D57815-91ED-43cb-92C2-25804820EDAC}">
                        <c15:formulaRef>
                          <c15:sqref>Gráficas!$F$34:$H$34</c15:sqref>
                        </c15:formulaRef>
                      </c:ext>
                    </c:extLst>
                    <c:numCache>
                      <c:formatCode>0.00</c:formatCode>
                      <c:ptCount val="3"/>
                    </c:numCache>
                  </c:numRef>
                </c:val>
                <c:extLst>
                  <c:ext xmlns:c16="http://schemas.microsoft.com/office/drawing/2014/chart" uri="{C3380CC4-5D6E-409C-BE32-E72D297353CC}">
                    <c16:uniqueId val="{00000001-851A-4411-89CF-4E20C61A75AA}"/>
                  </c:ext>
                </c:extLst>
              </c15:ser>
            </c15:filteredBarSeries>
          </c:ext>
        </c:extLst>
      </c:bar3DChart>
      <c:catAx>
        <c:axId val="21778432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6185600"/>
        <c:crosses val="autoZero"/>
        <c:auto val="1"/>
        <c:lblAlgn val="ctr"/>
        <c:lblOffset val="100"/>
        <c:noMultiLvlLbl val="0"/>
      </c:catAx>
      <c:valAx>
        <c:axId val="216185600"/>
        <c:scaling>
          <c:orientation val="minMax"/>
        </c:scaling>
        <c:delete val="0"/>
        <c:axPos val="l"/>
        <c:majorGridlines>
          <c:spPr>
            <a:ln w="9525" cap="flat" cmpd="sng" algn="ctr">
              <a:solidFill>
                <a:schemeClr val="dk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crossAx val="217784320"/>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Gráficas!$B$36</c:f>
              <c:strCache>
                <c:ptCount val="1"/>
                <c:pt idx="0">
                  <c:v>Endeudamiento a corto plazo</c:v>
                </c:pt>
              </c:strCache>
            </c:strRef>
          </c:tx>
          <c:spPr>
            <a:solidFill>
              <a:schemeClr val="accent1">
                <a:alpha val="85000"/>
              </a:schemeClr>
            </a:solidFill>
            <a:ln w="9525" cap="flat" cmpd="sng" algn="ctr">
              <a:solidFill>
                <a:schemeClr val="accent1">
                  <a:lumMod val="75000"/>
                </a:schemeClr>
              </a:solidFill>
              <a:round/>
            </a:ln>
            <a:effectLst/>
            <a:sp3d contourW="9525">
              <a:contourClr>
                <a:schemeClr val="accent1">
                  <a:lumMod val="75000"/>
                </a:schemeClr>
              </a:contourClr>
            </a:sp3d>
          </c:spPr>
          <c:invertIfNegative val="0"/>
          <c:cat>
            <c:numRef>
              <c:f>Gráficas!$F$35:$H$35</c:f>
              <c:numCache>
                <c:formatCode>General</c:formatCode>
                <c:ptCount val="3"/>
                <c:pt idx="0">
                  <c:v>2018</c:v>
                </c:pt>
                <c:pt idx="1">
                  <c:v>2019</c:v>
                </c:pt>
                <c:pt idx="2">
                  <c:v>2020</c:v>
                </c:pt>
              </c:numCache>
            </c:numRef>
          </c:cat>
          <c:val>
            <c:numRef>
              <c:f>Gráficas!$F$36:$H$36</c:f>
              <c:numCache>
                <c:formatCode>0.00</c:formatCode>
                <c:ptCount val="3"/>
                <c:pt idx="0">
                  <c:v>6.2684942666885037</c:v>
                </c:pt>
                <c:pt idx="1">
                  <c:v>2.6130036812744555</c:v>
                </c:pt>
                <c:pt idx="2">
                  <c:v>1.2089263023926677</c:v>
                </c:pt>
              </c:numCache>
            </c:numRef>
          </c:val>
          <c:extLst>
            <c:ext xmlns:c16="http://schemas.microsoft.com/office/drawing/2014/chart" uri="{C3380CC4-5D6E-409C-BE32-E72D297353CC}">
              <c16:uniqueId val="{00000000-ADE5-4129-9B37-23AD6667A639}"/>
            </c:ext>
          </c:extLst>
        </c:ser>
        <c:dLbls>
          <c:showLegendKey val="0"/>
          <c:showVal val="0"/>
          <c:showCatName val="0"/>
          <c:showSerName val="0"/>
          <c:showPercent val="0"/>
          <c:showBubbleSize val="0"/>
        </c:dLbls>
        <c:gapWidth val="65"/>
        <c:shape val="box"/>
        <c:axId val="217785856"/>
        <c:axId val="218039424"/>
        <c:axId val="0"/>
        <c:extLst>
          <c:ext xmlns:c15="http://schemas.microsoft.com/office/drawing/2012/chart" uri="{02D57815-91ED-43cb-92C2-25804820EDAC}">
            <c15:filteredBarSeries>
              <c15:ser>
                <c:idx val="1"/>
                <c:order val="1"/>
                <c:tx>
                  <c:strRef>
                    <c:extLst>
                      <c:ext uri="{02D57815-91ED-43cb-92C2-25804820EDAC}">
                        <c15:formulaRef>
                          <c15:sqref>Gráficas!$B$37</c15:sqref>
                        </c15:formulaRef>
                      </c:ext>
                    </c:extLst>
                    <c:strCache>
                      <c:ptCount val="1"/>
                    </c:strCache>
                  </c:strRef>
                </c:tx>
                <c:spPr>
                  <a:solidFill>
                    <a:schemeClr val="accent2">
                      <a:alpha val="85000"/>
                    </a:schemeClr>
                  </a:solidFill>
                  <a:ln w="9525" cap="flat" cmpd="sng" algn="ctr">
                    <a:solidFill>
                      <a:schemeClr val="accent2">
                        <a:lumMod val="75000"/>
                      </a:schemeClr>
                    </a:solidFill>
                    <a:round/>
                  </a:ln>
                  <a:effectLst/>
                  <a:sp3d contourW="9525">
                    <a:contourClr>
                      <a:schemeClr val="accent2">
                        <a:lumMod val="75000"/>
                      </a:schemeClr>
                    </a:contourClr>
                  </a:sp3d>
                </c:spPr>
                <c:invertIfNegative val="0"/>
                <c:cat>
                  <c:numRef>
                    <c:extLst>
                      <c:ext uri="{02D57815-91ED-43cb-92C2-25804820EDAC}">
                        <c15:formulaRef>
                          <c15:sqref>Gráficas!$F$35:$H$35</c15:sqref>
                        </c15:formulaRef>
                      </c:ext>
                    </c:extLst>
                    <c:numCache>
                      <c:formatCode>General</c:formatCode>
                      <c:ptCount val="3"/>
                      <c:pt idx="0">
                        <c:v>2018</c:v>
                      </c:pt>
                      <c:pt idx="1">
                        <c:v>2019</c:v>
                      </c:pt>
                      <c:pt idx="2">
                        <c:v>2020</c:v>
                      </c:pt>
                    </c:numCache>
                  </c:numRef>
                </c:cat>
                <c:val>
                  <c:numRef>
                    <c:extLst>
                      <c:ext uri="{02D57815-91ED-43cb-92C2-25804820EDAC}">
                        <c15:formulaRef>
                          <c15:sqref>Gráficas!$F$37:$H$37</c15:sqref>
                        </c15:formulaRef>
                      </c:ext>
                    </c:extLst>
                    <c:numCache>
                      <c:formatCode>0.00</c:formatCode>
                      <c:ptCount val="3"/>
                    </c:numCache>
                  </c:numRef>
                </c:val>
                <c:extLst>
                  <c:ext xmlns:c16="http://schemas.microsoft.com/office/drawing/2014/chart" uri="{C3380CC4-5D6E-409C-BE32-E72D297353CC}">
                    <c16:uniqueId val="{00000001-ADE5-4129-9B37-23AD6667A639}"/>
                  </c:ext>
                </c:extLst>
              </c15:ser>
            </c15:filteredBarSeries>
          </c:ext>
        </c:extLst>
      </c:bar3DChart>
      <c:catAx>
        <c:axId val="21778585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8039424"/>
        <c:crosses val="autoZero"/>
        <c:auto val="1"/>
        <c:lblAlgn val="ctr"/>
        <c:lblOffset val="100"/>
        <c:noMultiLvlLbl val="0"/>
      </c:catAx>
      <c:valAx>
        <c:axId val="218039424"/>
        <c:scaling>
          <c:orientation val="minMax"/>
        </c:scaling>
        <c:delete val="0"/>
        <c:axPos val="l"/>
        <c:majorGridlines>
          <c:spPr>
            <a:ln w="9525" cap="flat" cmpd="sng" algn="ctr">
              <a:solidFill>
                <a:schemeClr val="dk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crossAx val="217785856"/>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Gráficas!$B$39</c:f>
              <c:strCache>
                <c:ptCount val="1"/>
                <c:pt idx="0">
                  <c:v>Endeudamiento a largo plazo </c:v>
                </c:pt>
              </c:strCache>
            </c:strRef>
          </c:tx>
          <c:spPr>
            <a:solidFill>
              <a:schemeClr val="accent1">
                <a:alpha val="85000"/>
              </a:schemeClr>
            </a:solidFill>
            <a:ln w="9525" cap="flat" cmpd="sng" algn="ctr">
              <a:solidFill>
                <a:schemeClr val="accent1">
                  <a:lumMod val="75000"/>
                </a:schemeClr>
              </a:solidFill>
              <a:round/>
            </a:ln>
            <a:effectLst/>
            <a:sp3d contourW="9525">
              <a:contourClr>
                <a:schemeClr val="accent1">
                  <a:lumMod val="75000"/>
                </a:schemeClr>
              </a:contourClr>
            </a:sp3d>
          </c:spPr>
          <c:invertIfNegative val="0"/>
          <c:cat>
            <c:numRef>
              <c:f>Gráficas!$F$38:$H$38</c:f>
              <c:numCache>
                <c:formatCode>General</c:formatCode>
                <c:ptCount val="3"/>
                <c:pt idx="0">
                  <c:v>2018</c:v>
                </c:pt>
                <c:pt idx="1">
                  <c:v>2019</c:v>
                </c:pt>
                <c:pt idx="2">
                  <c:v>2020</c:v>
                </c:pt>
              </c:numCache>
            </c:numRef>
          </c:cat>
          <c:val>
            <c:numRef>
              <c:f>Gráficas!$F$39:$H$39</c:f>
              <c:numCache>
                <c:formatCode>0.00</c:formatCode>
                <c:ptCount val="3"/>
                <c:pt idx="0">
                  <c:v>0.52430143781564731</c:v>
                </c:pt>
                <c:pt idx="1">
                  <c:v>0.18705173235065667</c:v>
                </c:pt>
                <c:pt idx="2">
                  <c:v>8.4762999837808078E-2</c:v>
                </c:pt>
              </c:numCache>
            </c:numRef>
          </c:val>
          <c:extLst>
            <c:ext xmlns:c16="http://schemas.microsoft.com/office/drawing/2014/chart" uri="{C3380CC4-5D6E-409C-BE32-E72D297353CC}">
              <c16:uniqueId val="{00000000-711D-4E56-9120-66CB610640C2}"/>
            </c:ext>
          </c:extLst>
        </c:ser>
        <c:dLbls>
          <c:showLegendKey val="0"/>
          <c:showVal val="0"/>
          <c:showCatName val="0"/>
          <c:showSerName val="0"/>
          <c:showPercent val="0"/>
          <c:showBubbleSize val="0"/>
        </c:dLbls>
        <c:gapWidth val="65"/>
        <c:shape val="box"/>
        <c:axId val="217787392"/>
        <c:axId val="218041728"/>
        <c:axId val="0"/>
        <c:extLst>
          <c:ext xmlns:c15="http://schemas.microsoft.com/office/drawing/2012/chart" uri="{02D57815-91ED-43cb-92C2-25804820EDAC}">
            <c15:filteredBarSeries>
              <c15:ser>
                <c:idx val="1"/>
                <c:order val="1"/>
                <c:tx>
                  <c:strRef>
                    <c:extLst>
                      <c:ext uri="{02D57815-91ED-43cb-92C2-25804820EDAC}">
                        <c15:formulaRef>
                          <c15:sqref>Gráficas!$B$40</c15:sqref>
                        </c15:formulaRef>
                      </c:ext>
                    </c:extLst>
                    <c:strCache>
                      <c:ptCount val="1"/>
                    </c:strCache>
                  </c:strRef>
                </c:tx>
                <c:spPr>
                  <a:solidFill>
                    <a:schemeClr val="accent2">
                      <a:alpha val="85000"/>
                    </a:schemeClr>
                  </a:solidFill>
                  <a:ln w="9525" cap="flat" cmpd="sng" algn="ctr">
                    <a:solidFill>
                      <a:schemeClr val="accent2">
                        <a:lumMod val="75000"/>
                      </a:schemeClr>
                    </a:solidFill>
                    <a:round/>
                  </a:ln>
                  <a:effectLst/>
                  <a:sp3d contourW="9525">
                    <a:contourClr>
                      <a:schemeClr val="accent2">
                        <a:lumMod val="75000"/>
                      </a:schemeClr>
                    </a:contourClr>
                  </a:sp3d>
                </c:spPr>
                <c:invertIfNegative val="0"/>
                <c:cat>
                  <c:numRef>
                    <c:extLst>
                      <c:ext uri="{02D57815-91ED-43cb-92C2-25804820EDAC}">
                        <c15:formulaRef>
                          <c15:sqref>Gráficas!$F$38:$H$38</c15:sqref>
                        </c15:formulaRef>
                      </c:ext>
                    </c:extLst>
                    <c:numCache>
                      <c:formatCode>General</c:formatCode>
                      <c:ptCount val="3"/>
                      <c:pt idx="0">
                        <c:v>2018</c:v>
                      </c:pt>
                      <c:pt idx="1">
                        <c:v>2019</c:v>
                      </c:pt>
                      <c:pt idx="2">
                        <c:v>2020</c:v>
                      </c:pt>
                    </c:numCache>
                  </c:numRef>
                </c:cat>
                <c:val>
                  <c:numRef>
                    <c:extLst>
                      <c:ext uri="{02D57815-91ED-43cb-92C2-25804820EDAC}">
                        <c15:formulaRef>
                          <c15:sqref>Gráficas!$F$40:$H$40</c15:sqref>
                        </c15:formulaRef>
                      </c:ext>
                    </c:extLst>
                    <c:numCache>
                      <c:formatCode>0.00</c:formatCode>
                      <c:ptCount val="3"/>
                    </c:numCache>
                  </c:numRef>
                </c:val>
                <c:extLst>
                  <c:ext xmlns:c16="http://schemas.microsoft.com/office/drawing/2014/chart" uri="{C3380CC4-5D6E-409C-BE32-E72D297353CC}">
                    <c16:uniqueId val="{00000001-711D-4E56-9120-66CB610640C2}"/>
                  </c:ext>
                </c:extLst>
              </c15:ser>
            </c15:filteredBarSeries>
          </c:ext>
        </c:extLst>
      </c:bar3DChart>
      <c:catAx>
        <c:axId val="217787392"/>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8041728"/>
        <c:crosses val="autoZero"/>
        <c:auto val="1"/>
        <c:lblAlgn val="ctr"/>
        <c:lblOffset val="100"/>
        <c:noMultiLvlLbl val="0"/>
      </c:catAx>
      <c:valAx>
        <c:axId val="218041728"/>
        <c:scaling>
          <c:orientation val="minMax"/>
        </c:scaling>
        <c:delete val="0"/>
        <c:axPos val="l"/>
        <c:majorGridlines>
          <c:spPr>
            <a:ln w="9525" cap="flat" cmpd="sng" algn="ctr">
              <a:solidFill>
                <a:schemeClr val="dk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crossAx val="217787392"/>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CO"/>
              <a:t>UODI</a:t>
            </a:r>
          </a:p>
        </c:rich>
      </c:tx>
      <c:overlay val="0"/>
      <c:spPr>
        <a:noFill/>
        <a:ln>
          <a:noFill/>
        </a:ln>
        <a:effectLst/>
      </c:sp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Gráficas!$B$42</c:f>
              <c:strCache>
                <c:ptCount val="1"/>
                <c:pt idx="0">
                  <c:v> UODI</c:v>
                </c:pt>
              </c:strCache>
            </c:strRef>
          </c:tx>
          <c:spPr>
            <a:solidFill>
              <a:schemeClr val="accent1">
                <a:shade val="76000"/>
                <a:alpha val="85000"/>
              </a:schemeClr>
            </a:solidFill>
            <a:ln w="9525" cap="flat" cmpd="sng" algn="ctr">
              <a:solidFill>
                <a:schemeClr val="accent1">
                  <a:shade val="76000"/>
                  <a:lumMod val="75000"/>
                </a:schemeClr>
              </a:solidFill>
              <a:round/>
            </a:ln>
            <a:effectLst/>
            <a:sp3d contourW="9525">
              <a:contourClr>
                <a:schemeClr val="accent1">
                  <a:shade val="76000"/>
                  <a:lumMod val="75000"/>
                </a:schemeClr>
              </a:contourClr>
            </a:sp3d>
          </c:spPr>
          <c:invertIfNegative val="0"/>
          <c:cat>
            <c:numRef>
              <c:f>Gráficas!$F$41:$H$41</c:f>
              <c:numCache>
                <c:formatCode>General</c:formatCode>
                <c:ptCount val="3"/>
                <c:pt idx="0">
                  <c:v>2018</c:v>
                </c:pt>
                <c:pt idx="1">
                  <c:v>2019</c:v>
                </c:pt>
                <c:pt idx="2">
                  <c:v>2020</c:v>
                </c:pt>
              </c:numCache>
            </c:numRef>
          </c:cat>
          <c:val>
            <c:numRef>
              <c:f>Gráficas!$F$42:$H$42</c:f>
              <c:numCache>
                <c:formatCode>#,##0,</c:formatCode>
                <c:ptCount val="3"/>
                <c:pt idx="0">
                  <c:v>-28371111</c:v>
                </c:pt>
                <c:pt idx="1">
                  <c:v>125622589.00000001</c:v>
                </c:pt>
                <c:pt idx="2">
                  <c:v>251508975</c:v>
                </c:pt>
              </c:numCache>
            </c:numRef>
          </c:val>
          <c:extLst>
            <c:ext xmlns:c16="http://schemas.microsoft.com/office/drawing/2014/chart" uri="{C3380CC4-5D6E-409C-BE32-E72D297353CC}">
              <c16:uniqueId val="{00000000-590C-433E-9528-86E38847A25E}"/>
            </c:ext>
          </c:extLst>
        </c:ser>
        <c:dLbls>
          <c:showLegendKey val="0"/>
          <c:showVal val="0"/>
          <c:showCatName val="0"/>
          <c:showSerName val="0"/>
          <c:showPercent val="0"/>
          <c:showBubbleSize val="0"/>
        </c:dLbls>
        <c:gapWidth val="65"/>
        <c:shape val="box"/>
        <c:axId val="217968640"/>
        <c:axId val="218044032"/>
        <c:axId val="0"/>
        <c:extLst>
          <c:ext xmlns:c15="http://schemas.microsoft.com/office/drawing/2012/chart" uri="{02D57815-91ED-43cb-92C2-25804820EDAC}">
            <c15:filteredBarSeries>
              <c15:ser>
                <c:idx val="1"/>
                <c:order val="1"/>
                <c:tx>
                  <c:strRef>
                    <c:extLst>
                      <c:ext uri="{02D57815-91ED-43cb-92C2-25804820EDAC}">
                        <c15:formulaRef>
                          <c15:sqref>Gráficas!$B$43</c15:sqref>
                        </c15:formulaRef>
                      </c:ext>
                    </c:extLst>
                    <c:strCache>
                      <c:ptCount val="1"/>
                    </c:strCache>
                  </c:strRef>
                </c:tx>
                <c:spPr>
                  <a:solidFill>
                    <a:schemeClr val="accent1">
                      <a:tint val="77000"/>
                      <a:alpha val="85000"/>
                    </a:schemeClr>
                  </a:solidFill>
                  <a:ln w="9525" cap="flat" cmpd="sng" algn="ctr">
                    <a:solidFill>
                      <a:schemeClr val="accent1">
                        <a:tint val="77000"/>
                        <a:lumMod val="75000"/>
                      </a:schemeClr>
                    </a:solidFill>
                    <a:round/>
                  </a:ln>
                  <a:effectLst/>
                  <a:sp3d contourW="9525">
                    <a:contourClr>
                      <a:schemeClr val="accent1">
                        <a:tint val="77000"/>
                        <a:lumMod val="75000"/>
                      </a:schemeClr>
                    </a:contourClr>
                  </a:sp3d>
                </c:spPr>
                <c:invertIfNegative val="0"/>
                <c:cat>
                  <c:numRef>
                    <c:extLst>
                      <c:ext uri="{02D57815-91ED-43cb-92C2-25804820EDAC}">
                        <c15:formulaRef>
                          <c15:sqref>Gráficas!$F$41:$H$41</c15:sqref>
                        </c15:formulaRef>
                      </c:ext>
                    </c:extLst>
                    <c:numCache>
                      <c:formatCode>General</c:formatCode>
                      <c:ptCount val="3"/>
                      <c:pt idx="0">
                        <c:v>2018</c:v>
                      </c:pt>
                      <c:pt idx="1">
                        <c:v>2019</c:v>
                      </c:pt>
                      <c:pt idx="2">
                        <c:v>2020</c:v>
                      </c:pt>
                    </c:numCache>
                  </c:numRef>
                </c:cat>
                <c:val>
                  <c:numRef>
                    <c:extLst>
                      <c:ext uri="{02D57815-91ED-43cb-92C2-25804820EDAC}">
                        <c15:formulaRef>
                          <c15:sqref>Gráficas!$F$43:$H$43</c15:sqref>
                        </c15:formulaRef>
                      </c:ext>
                    </c:extLst>
                    <c:numCache>
                      <c:formatCode>#,##0,</c:formatCode>
                      <c:ptCount val="3"/>
                    </c:numCache>
                  </c:numRef>
                </c:val>
                <c:extLst>
                  <c:ext xmlns:c16="http://schemas.microsoft.com/office/drawing/2014/chart" uri="{C3380CC4-5D6E-409C-BE32-E72D297353CC}">
                    <c16:uniqueId val="{00000001-590C-433E-9528-86E38847A25E}"/>
                  </c:ext>
                </c:extLst>
              </c15:ser>
            </c15:filteredBarSeries>
          </c:ext>
        </c:extLst>
      </c:bar3DChart>
      <c:catAx>
        <c:axId val="21796864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8044032"/>
        <c:crosses val="autoZero"/>
        <c:auto val="1"/>
        <c:lblAlgn val="ctr"/>
        <c:lblOffset val="100"/>
        <c:noMultiLvlLbl val="0"/>
      </c:catAx>
      <c:valAx>
        <c:axId val="218044032"/>
        <c:scaling>
          <c:orientation val="minMax"/>
        </c:scaling>
        <c:delete val="0"/>
        <c:axPos val="l"/>
        <c:majorGridlines>
          <c:spPr>
            <a:ln w="9525" cap="flat" cmpd="sng" algn="ctr">
              <a:solidFill>
                <a:schemeClr val="dk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crossAx val="217968640"/>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Gráficas!$B$45</c:f>
              <c:strCache>
                <c:ptCount val="1"/>
                <c:pt idx="0">
                  <c:v>Margen Utilidad Bruta %</c:v>
                </c:pt>
              </c:strCache>
            </c:strRef>
          </c:tx>
          <c:spPr>
            <a:solidFill>
              <a:schemeClr val="accent1">
                <a:shade val="76000"/>
                <a:alpha val="85000"/>
              </a:schemeClr>
            </a:solidFill>
            <a:ln w="9525" cap="flat" cmpd="sng" algn="ctr">
              <a:solidFill>
                <a:schemeClr val="accent1">
                  <a:shade val="76000"/>
                  <a:lumMod val="75000"/>
                </a:schemeClr>
              </a:solidFill>
              <a:round/>
            </a:ln>
            <a:effectLst/>
            <a:sp3d contourW="9525">
              <a:contourClr>
                <a:schemeClr val="accent1">
                  <a:shade val="76000"/>
                  <a:lumMod val="75000"/>
                </a:schemeClr>
              </a:contourClr>
            </a:sp3d>
          </c:spPr>
          <c:invertIfNegative val="0"/>
          <c:cat>
            <c:numRef>
              <c:f>Gráficas!$F$44:$H$44</c:f>
              <c:numCache>
                <c:formatCode>General</c:formatCode>
                <c:ptCount val="3"/>
                <c:pt idx="0">
                  <c:v>2018</c:v>
                </c:pt>
                <c:pt idx="1">
                  <c:v>2019</c:v>
                </c:pt>
                <c:pt idx="2">
                  <c:v>2020</c:v>
                </c:pt>
              </c:numCache>
            </c:numRef>
          </c:cat>
          <c:val>
            <c:numRef>
              <c:f>Gráficas!$F$45:$H$45</c:f>
              <c:numCache>
                <c:formatCode>0.00%</c:formatCode>
                <c:ptCount val="3"/>
                <c:pt idx="0">
                  <c:v>1</c:v>
                </c:pt>
                <c:pt idx="1">
                  <c:v>0.47565487124917583</c:v>
                </c:pt>
                <c:pt idx="2">
                  <c:v>0.48230363923685149</c:v>
                </c:pt>
              </c:numCache>
            </c:numRef>
          </c:val>
          <c:extLst>
            <c:ext xmlns:c16="http://schemas.microsoft.com/office/drawing/2014/chart" uri="{C3380CC4-5D6E-409C-BE32-E72D297353CC}">
              <c16:uniqueId val="{00000000-7CB6-434A-B991-05203EC7FF9F}"/>
            </c:ext>
          </c:extLst>
        </c:ser>
        <c:dLbls>
          <c:showLegendKey val="0"/>
          <c:showVal val="0"/>
          <c:showCatName val="0"/>
          <c:showSerName val="0"/>
          <c:showPercent val="0"/>
          <c:showBubbleSize val="0"/>
        </c:dLbls>
        <c:gapWidth val="65"/>
        <c:shape val="box"/>
        <c:axId val="217970688"/>
        <c:axId val="218095616"/>
        <c:axId val="0"/>
        <c:extLst>
          <c:ext xmlns:c15="http://schemas.microsoft.com/office/drawing/2012/chart" uri="{02D57815-91ED-43cb-92C2-25804820EDAC}">
            <c15:filteredBarSeries>
              <c15:ser>
                <c:idx val="1"/>
                <c:order val="1"/>
                <c:tx>
                  <c:strRef>
                    <c:extLst>
                      <c:ext uri="{02D57815-91ED-43cb-92C2-25804820EDAC}">
                        <c15:formulaRef>
                          <c15:sqref>Gráficas!$B$46</c15:sqref>
                        </c15:formulaRef>
                      </c:ext>
                    </c:extLst>
                    <c:strCache>
                      <c:ptCount val="1"/>
                    </c:strCache>
                  </c:strRef>
                </c:tx>
                <c:spPr>
                  <a:solidFill>
                    <a:schemeClr val="accent1">
                      <a:tint val="77000"/>
                      <a:alpha val="85000"/>
                    </a:schemeClr>
                  </a:solidFill>
                  <a:ln w="9525" cap="flat" cmpd="sng" algn="ctr">
                    <a:solidFill>
                      <a:schemeClr val="accent1">
                        <a:tint val="77000"/>
                        <a:lumMod val="75000"/>
                      </a:schemeClr>
                    </a:solidFill>
                    <a:round/>
                  </a:ln>
                  <a:effectLst/>
                  <a:sp3d contourW="9525">
                    <a:contourClr>
                      <a:schemeClr val="accent1">
                        <a:tint val="77000"/>
                        <a:lumMod val="75000"/>
                      </a:schemeClr>
                    </a:contourClr>
                  </a:sp3d>
                </c:spPr>
                <c:invertIfNegative val="0"/>
                <c:cat>
                  <c:numRef>
                    <c:extLst>
                      <c:ext uri="{02D57815-91ED-43cb-92C2-25804820EDAC}">
                        <c15:formulaRef>
                          <c15:sqref>Gráficas!$F$44:$H$44</c15:sqref>
                        </c15:formulaRef>
                      </c:ext>
                    </c:extLst>
                    <c:numCache>
                      <c:formatCode>General</c:formatCode>
                      <c:ptCount val="3"/>
                      <c:pt idx="0">
                        <c:v>2018</c:v>
                      </c:pt>
                      <c:pt idx="1">
                        <c:v>2019</c:v>
                      </c:pt>
                      <c:pt idx="2">
                        <c:v>2020</c:v>
                      </c:pt>
                    </c:numCache>
                  </c:numRef>
                </c:cat>
                <c:val>
                  <c:numRef>
                    <c:extLst>
                      <c:ext uri="{02D57815-91ED-43cb-92C2-25804820EDAC}">
                        <c15:formulaRef>
                          <c15:sqref>Gráficas!$F$46:$H$46</c15:sqref>
                        </c15:formulaRef>
                      </c:ext>
                    </c:extLst>
                    <c:numCache>
                      <c:formatCode>0.00%</c:formatCode>
                      <c:ptCount val="3"/>
                    </c:numCache>
                  </c:numRef>
                </c:val>
                <c:extLst>
                  <c:ext xmlns:c16="http://schemas.microsoft.com/office/drawing/2014/chart" uri="{C3380CC4-5D6E-409C-BE32-E72D297353CC}">
                    <c16:uniqueId val="{00000001-7CB6-434A-B991-05203EC7FF9F}"/>
                  </c:ext>
                </c:extLst>
              </c15:ser>
            </c15:filteredBarSeries>
          </c:ext>
        </c:extLst>
      </c:bar3DChart>
      <c:catAx>
        <c:axId val="21797068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8095616"/>
        <c:crosses val="autoZero"/>
        <c:auto val="1"/>
        <c:lblAlgn val="ctr"/>
        <c:lblOffset val="100"/>
        <c:noMultiLvlLbl val="0"/>
      </c:catAx>
      <c:valAx>
        <c:axId val="218095616"/>
        <c:scaling>
          <c:orientation val="minMax"/>
        </c:scaling>
        <c:delete val="0"/>
        <c:axPos val="l"/>
        <c:majorGridlines>
          <c:spPr>
            <a:ln w="9525" cap="flat" cmpd="sng" algn="ctr">
              <a:solidFill>
                <a:schemeClr val="dk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crossAx val="217970688"/>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CO"/>
              <a:t>Rentabilidad/Ventas</a:t>
            </a:r>
          </a:p>
        </c:rich>
      </c:tx>
      <c:overlay val="0"/>
      <c:spPr>
        <a:noFill/>
        <a:ln>
          <a:noFill/>
        </a:ln>
        <a:effectLst/>
      </c:sp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1">
                <a:shade val="76000"/>
                <a:alpha val="85000"/>
              </a:schemeClr>
            </a:solidFill>
            <a:ln w="9525" cap="flat" cmpd="sng" algn="ctr">
              <a:solidFill>
                <a:schemeClr val="accent1">
                  <a:shade val="76000"/>
                  <a:lumMod val="75000"/>
                </a:schemeClr>
              </a:solidFill>
              <a:round/>
            </a:ln>
            <a:effectLst/>
            <a:sp3d contourW="9525">
              <a:contourClr>
                <a:schemeClr val="accent1">
                  <a:shade val="76000"/>
                  <a:lumMod val="75000"/>
                </a:schemeClr>
              </a:contourClr>
            </a:sp3d>
          </c:spPr>
          <c:invertIfNegative val="0"/>
          <c:cat>
            <c:numRef>
              <c:f>Gráficas!$F$47:$H$47</c:f>
              <c:numCache>
                <c:formatCode>General</c:formatCode>
                <c:ptCount val="3"/>
                <c:pt idx="0">
                  <c:v>2018</c:v>
                </c:pt>
                <c:pt idx="1">
                  <c:v>2019</c:v>
                </c:pt>
                <c:pt idx="2">
                  <c:v>2020</c:v>
                </c:pt>
              </c:numCache>
            </c:numRef>
          </c:cat>
          <c:val>
            <c:numRef>
              <c:f>Gráficas!$F$48:$H$48</c:f>
              <c:numCache>
                <c:formatCode>0.00%</c:formatCode>
                <c:ptCount val="3"/>
                <c:pt idx="0">
                  <c:v>-1.5992502637832862E-2</c:v>
                </c:pt>
                <c:pt idx="1">
                  <c:v>3.5906745764939345E-2</c:v>
                </c:pt>
                <c:pt idx="2">
                  <c:v>6.86036332372921E-2</c:v>
                </c:pt>
              </c:numCache>
            </c:numRef>
          </c:val>
          <c:extLst>
            <c:ext xmlns:c16="http://schemas.microsoft.com/office/drawing/2014/chart" uri="{C3380CC4-5D6E-409C-BE32-E72D297353CC}">
              <c16:uniqueId val="{00000000-CC16-44BF-BB9A-67BD76518427}"/>
            </c:ext>
          </c:extLst>
        </c:ser>
        <c:dLbls>
          <c:showLegendKey val="0"/>
          <c:showVal val="0"/>
          <c:showCatName val="0"/>
          <c:showSerName val="0"/>
          <c:showPercent val="0"/>
          <c:showBubbleSize val="0"/>
        </c:dLbls>
        <c:gapWidth val="65"/>
        <c:shape val="box"/>
        <c:axId val="217972224"/>
        <c:axId val="218097920"/>
        <c:axId val="0"/>
        <c:extLst>
          <c:ext xmlns:c15="http://schemas.microsoft.com/office/drawing/2012/chart" uri="{02D57815-91ED-43cb-92C2-25804820EDAC}">
            <c15:filteredBarSeries>
              <c15:ser>
                <c:idx val="1"/>
                <c:order val="1"/>
                <c:spPr>
                  <a:solidFill>
                    <a:schemeClr val="accent1">
                      <a:tint val="77000"/>
                      <a:alpha val="85000"/>
                    </a:schemeClr>
                  </a:solidFill>
                  <a:ln w="9525" cap="flat" cmpd="sng" algn="ctr">
                    <a:solidFill>
                      <a:schemeClr val="accent1">
                        <a:tint val="77000"/>
                        <a:lumMod val="75000"/>
                      </a:schemeClr>
                    </a:solidFill>
                    <a:round/>
                  </a:ln>
                  <a:effectLst/>
                  <a:sp3d contourW="9525">
                    <a:contourClr>
                      <a:schemeClr val="accent1">
                        <a:tint val="77000"/>
                        <a:lumMod val="75000"/>
                      </a:schemeClr>
                    </a:contourClr>
                  </a:sp3d>
                </c:spPr>
                <c:invertIfNegative val="0"/>
                <c:cat>
                  <c:numRef>
                    <c:extLst>
                      <c:ext uri="{02D57815-91ED-43cb-92C2-25804820EDAC}">
                        <c15:formulaRef>
                          <c15:sqref>Gráficas!$F$47:$H$47</c15:sqref>
                        </c15:formulaRef>
                      </c:ext>
                    </c:extLst>
                    <c:numCache>
                      <c:formatCode>General</c:formatCode>
                      <c:ptCount val="3"/>
                      <c:pt idx="0">
                        <c:v>2018</c:v>
                      </c:pt>
                      <c:pt idx="1">
                        <c:v>2019</c:v>
                      </c:pt>
                      <c:pt idx="2">
                        <c:v>2020</c:v>
                      </c:pt>
                    </c:numCache>
                  </c:numRef>
                </c:cat>
                <c:val>
                  <c:numRef>
                    <c:extLst>
                      <c:ext uri="{02D57815-91ED-43cb-92C2-25804820EDAC}">
                        <c15:formulaRef>
                          <c15:sqref>Gráficas!$F$49:$H$49</c15:sqref>
                        </c15:formulaRef>
                      </c:ext>
                    </c:extLst>
                    <c:numCache>
                      <c:formatCode>0.00%</c:formatCode>
                      <c:ptCount val="3"/>
                    </c:numCache>
                  </c:numRef>
                </c:val>
                <c:extLst>
                  <c:ext xmlns:c16="http://schemas.microsoft.com/office/drawing/2014/chart" uri="{C3380CC4-5D6E-409C-BE32-E72D297353CC}">
                    <c16:uniqueId val="{00000001-CC16-44BF-BB9A-67BD76518427}"/>
                  </c:ext>
                </c:extLst>
              </c15:ser>
            </c15:filteredBarSeries>
          </c:ext>
        </c:extLst>
      </c:bar3DChart>
      <c:catAx>
        <c:axId val="217972224"/>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8097920"/>
        <c:crosses val="autoZero"/>
        <c:auto val="1"/>
        <c:lblAlgn val="ctr"/>
        <c:lblOffset val="100"/>
        <c:noMultiLvlLbl val="0"/>
      </c:catAx>
      <c:valAx>
        <c:axId val="218097920"/>
        <c:scaling>
          <c:orientation val="minMax"/>
        </c:scaling>
        <c:delete val="0"/>
        <c:axPos val="l"/>
        <c:majorGridlines>
          <c:spPr>
            <a:ln w="9525" cap="flat" cmpd="sng" algn="ctr">
              <a:solidFill>
                <a:schemeClr val="dk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crossAx val="217972224"/>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CO"/>
              <a:t>ROA- ROE - DUPONT</a:t>
            </a:r>
          </a:p>
        </c:rich>
      </c:tx>
      <c:overlay val="0"/>
      <c:spPr>
        <a:noFill/>
        <a:ln>
          <a:noFill/>
        </a:ln>
        <a:effectLst/>
      </c:sp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Gráficas!$B$51</c:f>
              <c:strCache>
                <c:ptCount val="1"/>
                <c:pt idx="0">
                  <c:v>ROA </c:v>
                </c:pt>
              </c:strCache>
            </c:strRef>
          </c:tx>
          <c:spPr>
            <a:solidFill>
              <a:schemeClr val="accent1">
                <a:alpha val="85000"/>
              </a:schemeClr>
            </a:solidFill>
            <a:ln w="9525" cap="flat" cmpd="sng" algn="ctr">
              <a:solidFill>
                <a:schemeClr val="accent1">
                  <a:lumMod val="75000"/>
                </a:schemeClr>
              </a:solidFill>
              <a:round/>
            </a:ln>
            <a:effectLst/>
            <a:sp3d contourW="9525">
              <a:contourClr>
                <a:schemeClr val="accent1">
                  <a:lumMod val="75000"/>
                </a:schemeClr>
              </a:contourClr>
            </a:sp3d>
          </c:spPr>
          <c:invertIfNegative val="0"/>
          <c:cat>
            <c:numRef>
              <c:f>Gráficas!$F$50:$H$50</c:f>
              <c:numCache>
                <c:formatCode>General</c:formatCode>
                <c:ptCount val="3"/>
                <c:pt idx="0">
                  <c:v>2018</c:v>
                </c:pt>
                <c:pt idx="1">
                  <c:v>2019</c:v>
                </c:pt>
                <c:pt idx="2">
                  <c:v>2020</c:v>
                </c:pt>
              </c:numCache>
            </c:numRef>
          </c:cat>
          <c:val>
            <c:numRef>
              <c:f>Gráficas!$F$51:$H$51</c:f>
              <c:numCache>
                <c:formatCode>0.00%</c:formatCode>
                <c:ptCount val="3"/>
                <c:pt idx="0">
                  <c:v>-4.143119782423723E-2</c:v>
                </c:pt>
                <c:pt idx="1">
                  <c:v>0.13957122935823246</c:v>
                </c:pt>
                <c:pt idx="2">
                  <c:v>0.23841384180928429</c:v>
                </c:pt>
              </c:numCache>
            </c:numRef>
          </c:val>
          <c:extLst>
            <c:ext xmlns:c16="http://schemas.microsoft.com/office/drawing/2014/chart" uri="{C3380CC4-5D6E-409C-BE32-E72D297353CC}">
              <c16:uniqueId val="{00000000-CAA3-4D70-97C2-D076D201FCCD}"/>
            </c:ext>
          </c:extLst>
        </c:ser>
        <c:ser>
          <c:idx val="2"/>
          <c:order val="2"/>
          <c:tx>
            <c:strRef>
              <c:f>Gráficas!$B$53</c:f>
              <c:strCache>
                <c:ptCount val="1"/>
                <c:pt idx="0">
                  <c:v>ROE </c:v>
                </c:pt>
              </c:strCache>
            </c:strRef>
          </c:tx>
          <c:spPr>
            <a:solidFill>
              <a:schemeClr val="accent3">
                <a:alpha val="85000"/>
              </a:schemeClr>
            </a:solidFill>
            <a:ln w="9525" cap="flat" cmpd="sng" algn="ctr">
              <a:solidFill>
                <a:schemeClr val="accent3">
                  <a:lumMod val="75000"/>
                </a:schemeClr>
              </a:solidFill>
              <a:round/>
            </a:ln>
            <a:effectLst/>
            <a:sp3d contourW="9525">
              <a:contourClr>
                <a:schemeClr val="accent3">
                  <a:lumMod val="75000"/>
                </a:schemeClr>
              </a:contourClr>
            </a:sp3d>
          </c:spPr>
          <c:invertIfNegative val="0"/>
          <c:cat>
            <c:numRef>
              <c:f>Gráficas!$F$50:$H$50</c:f>
              <c:numCache>
                <c:formatCode>General</c:formatCode>
                <c:ptCount val="3"/>
                <c:pt idx="0">
                  <c:v>2018</c:v>
                </c:pt>
                <c:pt idx="1">
                  <c:v>2019</c:v>
                </c:pt>
                <c:pt idx="2">
                  <c:v>2020</c:v>
                </c:pt>
              </c:numCache>
            </c:numRef>
          </c:cat>
          <c:val>
            <c:numRef>
              <c:f>Gráficas!$F$53:$H$53</c:f>
              <c:numCache>
                <c:formatCode>0%</c:formatCode>
                <c:ptCount val="3"/>
                <c:pt idx="0">
                  <c:v>-0.32286485998770925</c:v>
                </c:pt>
                <c:pt idx="1">
                  <c:v>0.53037856664854122</c:v>
                </c:pt>
                <c:pt idx="2">
                  <c:v>0.54684727846162429</c:v>
                </c:pt>
              </c:numCache>
            </c:numRef>
          </c:val>
          <c:extLst>
            <c:ext xmlns:c16="http://schemas.microsoft.com/office/drawing/2014/chart" uri="{C3380CC4-5D6E-409C-BE32-E72D297353CC}">
              <c16:uniqueId val="{00000002-CAA3-4D70-97C2-D076D201FCCD}"/>
            </c:ext>
          </c:extLst>
        </c:ser>
        <c:ser>
          <c:idx val="4"/>
          <c:order val="4"/>
          <c:tx>
            <c:strRef>
              <c:f>Gráficas!$B$55</c:f>
              <c:strCache>
                <c:ptCount val="1"/>
                <c:pt idx="0">
                  <c:v>DUPONT</c:v>
                </c:pt>
              </c:strCache>
            </c:strRef>
          </c:tx>
          <c:spPr>
            <a:solidFill>
              <a:schemeClr val="accent5">
                <a:alpha val="85000"/>
              </a:schemeClr>
            </a:solidFill>
            <a:ln w="9525" cap="flat" cmpd="sng" algn="ctr">
              <a:solidFill>
                <a:schemeClr val="accent5">
                  <a:lumMod val="75000"/>
                </a:schemeClr>
              </a:solidFill>
              <a:round/>
            </a:ln>
            <a:effectLst/>
            <a:sp3d contourW="9525">
              <a:contourClr>
                <a:schemeClr val="accent5">
                  <a:lumMod val="75000"/>
                </a:schemeClr>
              </a:contourClr>
            </a:sp3d>
          </c:spPr>
          <c:invertIfNegative val="0"/>
          <c:cat>
            <c:numRef>
              <c:f>Gráficas!$F$50:$H$50</c:f>
              <c:numCache>
                <c:formatCode>General</c:formatCode>
                <c:ptCount val="3"/>
                <c:pt idx="0">
                  <c:v>2018</c:v>
                </c:pt>
                <c:pt idx="1">
                  <c:v>2019</c:v>
                </c:pt>
                <c:pt idx="2">
                  <c:v>2020</c:v>
                </c:pt>
              </c:numCache>
            </c:numRef>
          </c:cat>
          <c:val>
            <c:numRef>
              <c:f>Gráficas!$F$55:$H$55</c:f>
              <c:numCache>
                <c:formatCode>0%</c:formatCode>
                <c:ptCount val="3"/>
                <c:pt idx="0">
                  <c:v>-0.32286485998770925</c:v>
                </c:pt>
                <c:pt idx="1">
                  <c:v>0.465753846629537</c:v>
                </c:pt>
                <c:pt idx="2">
                  <c:v>0.51864226689923343</c:v>
                </c:pt>
              </c:numCache>
            </c:numRef>
          </c:val>
          <c:extLst>
            <c:ext xmlns:c16="http://schemas.microsoft.com/office/drawing/2014/chart" uri="{C3380CC4-5D6E-409C-BE32-E72D297353CC}">
              <c16:uniqueId val="{00000004-CAA3-4D70-97C2-D076D201FCCD}"/>
            </c:ext>
          </c:extLst>
        </c:ser>
        <c:dLbls>
          <c:showLegendKey val="0"/>
          <c:showVal val="0"/>
          <c:showCatName val="0"/>
          <c:showSerName val="0"/>
          <c:showPercent val="0"/>
          <c:showBubbleSize val="0"/>
        </c:dLbls>
        <c:gapWidth val="65"/>
        <c:shape val="box"/>
        <c:axId val="218255360"/>
        <c:axId val="218100224"/>
        <c:axId val="0"/>
        <c:extLst>
          <c:ext xmlns:c15="http://schemas.microsoft.com/office/drawing/2012/chart" uri="{02D57815-91ED-43cb-92C2-25804820EDAC}">
            <c15:filteredBarSeries>
              <c15:ser>
                <c:idx val="1"/>
                <c:order val="1"/>
                <c:tx>
                  <c:strRef>
                    <c:extLst>
                      <c:ext uri="{02D57815-91ED-43cb-92C2-25804820EDAC}">
                        <c15:formulaRef>
                          <c15:sqref>Gráficas!$B$52</c15:sqref>
                        </c15:formulaRef>
                      </c:ext>
                    </c:extLst>
                    <c:strCache>
                      <c:ptCount val="1"/>
                    </c:strCache>
                  </c:strRef>
                </c:tx>
                <c:spPr>
                  <a:solidFill>
                    <a:schemeClr val="accent2">
                      <a:alpha val="85000"/>
                    </a:schemeClr>
                  </a:solidFill>
                  <a:ln w="9525" cap="flat" cmpd="sng" algn="ctr">
                    <a:solidFill>
                      <a:schemeClr val="accent2">
                        <a:lumMod val="75000"/>
                      </a:schemeClr>
                    </a:solidFill>
                    <a:round/>
                  </a:ln>
                  <a:effectLst/>
                  <a:sp3d contourW="9525">
                    <a:contourClr>
                      <a:schemeClr val="accent2">
                        <a:lumMod val="75000"/>
                      </a:schemeClr>
                    </a:contourClr>
                  </a:sp3d>
                </c:spPr>
                <c:invertIfNegative val="0"/>
                <c:cat>
                  <c:numRef>
                    <c:extLst>
                      <c:ext uri="{02D57815-91ED-43cb-92C2-25804820EDAC}">
                        <c15:formulaRef>
                          <c15:sqref>Gráficas!$F$50:$H$50</c15:sqref>
                        </c15:formulaRef>
                      </c:ext>
                    </c:extLst>
                    <c:numCache>
                      <c:formatCode>General</c:formatCode>
                      <c:ptCount val="3"/>
                      <c:pt idx="0">
                        <c:v>2018</c:v>
                      </c:pt>
                      <c:pt idx="1">
                        <c:v>2019</c:v>
                      </c:pt>
                      <c:pt idx="2">
                        <c:v>2020</c:v>
                      </c:pt>
                    </c:numCache>
                  </c:numRef>
                </c:cat>
                <c:val>
                  <c:numRef>
                    <c:extLst>
                      <c:ext uri="{02D57815-91ED-43cb-92C2-25804820EDAC}">
                        <c15:formulaRef>
                          <c15:sqref>Gráficas!$F$52:$H$52</c15:sqref>
                        </c15:formulaRef>
                      </c:ext>
                    </c:extLst>
                    <c:numCache>
                      <c:formatCode>0.00%</c:formatCode>
                      <c:ptCount val="3"/>
                    </c:numCache>
                  </c:numRef>
                </c:val>
                <c:extLst>
                  <c:ext xmlns:c16="http://schemas.microsoft.com/office/drawing/2014/chart" uri="{C3380CC4-5D6E-409C-BE32-E72D297353CC}">
                    <c16:uniqueId val="{00000001-CAA3-4D70-97C2-D076D201FCCD}"/>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Gráficas!$B$54</c15:sqref>
                        </c15:formulaRef>
                      </c:ext>
                    </c:extLst>
                    <c:strCache>
                      <c:ptCount val="1"/>
                    </c:strCache>
                  </c:strRef>
                </c:tx>
                <c:spPr>
                  <a:solidFill>
                    <a:schemeClr val="accent4">
                      <a:alpha val="85000"/>
                    </a:schemeClr>
                  </a:solidFill>
                  <a:ln w="9525" cap="flat" cmpd="sng" algn="ctr">
                    <a:solidFill>
                      <a:schemeClr val="accent4">
                        <a:lumMod val="75000"/>
                      </a:schemeClr>
                    </a:solidFill>
                    <a:round/>
                  </a:ln>
                  <a:effectLst/>
                  <a:sp3d contourW="9525">
                    <a:contourClr>
                      <a:schemeClr val="accent4">
                        <a:lumMod val="75000"/>
                      </a:schemeClr>
                    </a:contourClr>
                  </a:sp3d>
                </c:spPr>
                <c:invertIfNegative val="0"/>
                <c:cat>
                  <c:numRef>
                    <c:extLst xmlns:c15="http://schemas.microsoft.com/office/drawing/2012/chart">
                      <c:ext xmlns:c15="http://schemas.microsoft.com/office/drawing/2012/chart" uri="{02D57815-91ED-43cb-92C2-25804820EDAC}">
                        <c15:formulaRef>
                          <c15:sqref>Gráficas!$F$50:$H$50</c15:sqref>
                        </c15:formulaRef>
                      </c:ext>
                    </c:extLst>
                    <c:numCache>
                      <c:formatCode>General</c:formatCode>
                      <c:ptCount val="3"/>
                      <c:pt idx="0">
                        <c:v>2018</c:v>
                      </c:pt>
                      <c:pt idx="1">
                        <c:v>2019</c:v>
                      </c:pt>
                      <c:pt idx="2">
                        <c:v>2020</c:v>
                      </c:pt>
                    </c:numCache>
                  </c:numRef>
                </c:cat>
                <c:val>
                  <c:numRef>
                    <c:extLst xmlns:c15="http://schemas.microsoft.com/office/drawing/2012/chart">
                      <c:ext xmlns:c15="http://schemas.microsoft.com/office/drawing/2012/chart" uri="{02D57815-91ED-43cb-92C2-25804820EDAC}">
                        <c15:formulaRef>
                          <c15:sqref>Gráficas!$F$54:$H$54</c15:sqref>
                        </c15:formulaRef>
                      </c:ext>
                    </c:extLst>
                    <c:numCache>
                      <c:formatCode>0%</c:formatCode>
                      <c:ptCount val="3"/>
                    </c:numCache>
                  </c:numRef>
                </c:val>
                <c:extLst xmlns:c15="http://schemas.microsoft.com/office/drawing/2012/chart">
                  <c:ext xmlns:c16="http://schemas.microsoft.com/office/drawing/2014/chart" uri="{C3380CC4-5D6E-409C-BE32-E72D297353CC}">
                    <c16:uniqueId val="{00000003-CAA3-4D70-97C2-D076D201FCCD}"/>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Gráficas!$B$56</c15:sqref>
                        </c15:formulaRef>
                      </c:ext>
                    </c:extLst>
                    <c:strCache>
                      <c:ptCount val="1"/>
                    </c:strCache>
                  </c:strRef>
                </c:tx>
                <c:spPr>
                  <a:solidFill>
                    <a:schemeClr val="accent6">
                      <a:alpha val="85000"/>
                    </a:schemeClr>
                  </a:solidFill>
                  <a:ln w="9525" cap="flat" cmpd="sng" algn="ctr">
                    <a:solidFill>
                      <a:schemeClr val="accent6">
                        <a:lumMod val="75000"/>
                      </a:schemeClr>
                    </a:solidFill>
                    <a:round/>
                  </a:ln>
                  <a:effectLst/>
                  <a:sp3d contourW="9525">
                    <a:contourClr>
                      <a:schemeClr val="accent6">
                        <a:lumMod val="75000"/>
                      </a:schemeClr>
                    </a:contourClr>
                  </a:sp3d>
                </c:spPr>
                <c:invertIfNegative val="0"/>
                <c:cat>
                  <c:numRef>
                    <c:extLst xmlns:c15="http://schemas.microsoft.com/office/drawing/2012/chart">
                      <c:ext xmlns:c15="http://schemas.microsoft.com/office/drawing/2012/chart" uri="{02D57815-91ED-43cb-92C2-25804820EDAC}">
                        <c15:formulaRef>
                          <c15:sqref>Gráficas!$F$50:$H$50</c15:sqref>
                        </c15:formulaRef>
                      </c:ext>
                    </c:extLst>
                    <c:numCache>
                      <c:formatCode>General</c:formatCode>
                      <c:ptCount val="3"/>
                      <c:pt idx="0">
                        <c:v>2018</c:v>
                      </c:pt>
                      <c:pt idx="1">
                        <c:v>2019</c:v>
                      </c:pt>
                      <c:pt idx="2">
                        <c:v>2020</c:v>
                      </c:pt>
                    </c:numCache>
                  </c:numRef>
                </c:cat>
                <c:val>
                  <c:numRef>
                    <c:extLst xmlns:c15="http://schemas.microsoft.com/office/drawing/2012/chart">
                      <c:ext xmlns:c15="http://schemas.microsoft.com/office/drawing/2012/chart" uri="{02D57815-91ED-43cb-92C2-25804820EDAC}">
                        <c15:formulaRef>
                          <c15:sqref>Gráficas!$F$56:$H$56</c15:sqref>
                        </c15:formulaRef>
                      </c:ext>
                    </c:extLst>
                    <c:numCache>
                      <c:formatCode>0%</c:formatCode>
                      <c:ptCount val="3"/>
                    </c:numCache>
                  </c:numRef>
                </c:val>
                <c:extLst xmlns:c15="http://schemas.microsoft.com/office/drawing/2012/chart">
                  <c:ext xmlns:c16="http://schemas.microsoft.com/office/drawing/2014/chart" uri="{C3380CC4-5D6E-409C-BE32-E72D297353CC}">
                    <c16:uniqueId val="{00000005-CAA3-4D70-97C2-D076D201FCCD}"/>
                  </c:ext>
                </c:extLst>
              </c15:ser>
            </c15:filteredBarSeries>
          </c:ext>
        </c:extLst>
      </c:bar3DChart>
      <c:catAx>
        <c:axId val="21825536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8100224"/>
        <c:crosses val="autoZero"/>
        <c:auto val="1"/>
        <c:lblAlgn val="ctr"/>
        <c:lblOffset val="100"/>
        <c:noMultiLvlLbl val="0"/>
      </c:catAx>
      <c:valAx>
        <c:axId val="218100224"/>
        <c:scaling>
          <c:orientation val="minMax"/>
        </c:scaling>
        <c:delete val="0"/>
        <c:axPos val="l"/>
        <c:majorGridlines>
          <c:spPr>
            <a:ln w="9525" cap="flat" cmpd="sng" algn="ctr">
              <a:solidFill>
                <a:schemeClr val="dk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crossAx val="218255360"/>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CO"/>
              <a:t>EBITDA-</a:t>
            </a:r>
            <a:r>
              <a:rPr lang="es-CO" baseline="0"/>
              <a:t> EBIT - EBT</a:t>
            </a:r>
            <a:endParaRPr lang="es-CO"/>
          </a:p>
        </c:rich>
      </c:tx>
      <c:overlay val="0"/>
      <c:spPr>
        <a:noFill/>
        <a:ln>
          <a:noFill/>
        </a:ln>
        <a:effectLst/>
      </c:sp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Gráficas!$B$58</c:f>
              <c:strCache>
                <c:ptCount val="1"/>
                <c:pt idx="0">
                  <c:v>EBITDA</c:v>
                </c:pt>
              </c:strCache>
            </c:strRef>
          </c:tx>
          <c:spPr>
            <a:solidFill>
              <a:schemeClr val="accent1">
                <a:shade val="50000"/>
                <a:alpha val="85000"/>
              </a:schemeClr>
            </a:solidFill>
            <a:ln w="9525" cap="flat" cmpd="sng" algn="ctr">
              <a:solidFill>
                <a:schemeClr val="accent1">
                  <a:shade val="50000"/>
                  <a:lumMod val="75000"/>
                </a:schemeClr>
              </a:solidFill>
              <a:round/>
            </a:ln>
            <a:effectLst/>
            <a:sp3d contourW="9525">
              <a:contourClr>
                <a:schemeClr val="accent1">
                  <a:shade val="50000"/>
                  <a:lumMod val="75000"/>
                </a:schemeClr>
              </a:contourClr>
            </a:sp3d>
          </c:spPr>
          <c:invertIfNegative val="0"/>
          <c:cat>
            <c:numRef>
              <c:f>Gráficas!$F$57:$H$57</c:f>
              <c:numCache>
                <c:formatCode>General</c:formatCode>
                <c:ptCount val="3"/>
                <c:pt idx="0">
                  <c:v>2018</c:v>
                </c:pt>
                <c:pt idx="1">
                  <c:v>2019</c:v>
                </c:pt>
                <c:pt idx="2">
                  <c:v>2020</c:v>
                </c:pt>
              </c:numCache>
            </c:numRef>
          </c:cat>
          <c:val>
            <c:numRef>
              <c:f>Gráficas!$F$58:$H$58</c:f>
              <c:numCache>
                <c:formatCode>#,##0,,</c:formatCode>
                <c:ptCount val="3"/>
                <c:pt idx="0">
                  <c:v>1960951189</c:v>
                </c:pt>
                <c:pt idx="1">
                  <c:v>1477568217</c:v>
                </c:pt>
                <c:pt idx="2">
                  <c:v>1746692330</c:v>
                </c:pt>
              </c:numCache>
            </c:numRef>
          </c:val>
          <c:extLst>
            <c:ext xmlns:c16="http://schemas.microsoft.com/office/drawing/2014/chart" uri="{C3380CC4-5D6E-409C-BE32-E72D297353CC}">
              <c16:uniqueId val="{00000000-A412-4F32-8CD2-D492DC8754C3}"/>
            </c:ext>
          </c:extLst>
        </c:ser>
        <c:ser>
          <c:idx val="2"/>
          <c:order val="2"/>
          <c:tx>
            <c:strRef>
              <c:f>Gráficas!$B$60</c:f>
              <c:strCache>
                <c:ptCount val="1"/>
                <c:pt idx="0">
                  <c:v>EBIT</c:v>
                </c:pt>
              </c:strCache>
            </c:strRef>
          </c:tx>
          <c:spPr>
            <a:solidFill>
              <a:schemeClr val="accent1">
                <a:shade val="90000"/>
                <a:alpha val="85000"/>
              </a:schemeClr>
            </a:solidFill>
            <a:ln w="9525" cap="flat" cmpd="sng" algn="ctr">
              <a:solidFill>
                <a:schemeClr val="accent1">
                  <a:shade val="90000"/>
                  <a:lumMod val="75000"/>
                </a:schemeClr>
              </a:solidFill>
              <a:round/>
            </a:ln>
            <a:effectLst/>
            <a:sp3d contourW="9525">
              <a:contourClr>
                <a:schemeClr val="accent1">
                  <a:shade val="90000"/>
                  <a:lumMod val="75000"/>
                </a:schemeClr>
              </a:contourClr>
            </a:sp3d>
          </c:spPr>
          <c:invertIfNegative val="0"/>
          <c:cat>
            <c:numRef>
              <c:f>Gráficas!$F$57:$H$57</c:f>
              <c:numCache>
                <c:formatCode>General</c:formatCode>
                <c:ptCount val="3"/>
                <c:pt idx="0">
                  <c:v>2018</c:v>
                </c:pt>
                <c:pt idx="1">
                  <c:v>2019</c:v>
                </c:pt>
                <c:pt idx="2">
                  <c:v>2020</c:v>
                </c:pt>
              </c:numCache>
            </c:numRef>
          </c:cat>
          <c:val>
            <c:numRef>
              <c:f>Gráficas!$F$60:$H$60</c:f>
              <c:numCache>
                <c:formatCode>#,##0,,</c:formatCode>
                <c:ptCount val="3"/>
                <c:pt idx="0">
                  <c:v>-28371111</c:v>
                </c:pt>
                <c:pt idx="1">
                  <c:v>162819854</c:v>
                </c:pt>
                <c:pt idx="2">
                  <c:v>314156396</c:v>
                </c:pt>
              </c:numCache>
            </c:numRef>
          </c:val>
          <c:extLst>
            <c:ext xmlns:c16="http://schemas.microsoft.com/office/drawing/2014/chart" uri="{C3380CC4-5D6E-409C-BE32-E72D297353CC}">
              <c16:uniqueId val="{00000002-A412-4F32-8CD2-D492DC8754C3}"/>
            </c:ext>
          </c:extLst>
        </c:ser>
        <c:ser>
          <c:idx val="4"/>
          <c:order val="4"/>
          <c:tx>
            <c:strRef>
              <c:f>Gráficas!$B$62</c:f>
              <c:strCache>
                <c:ptCount val="1"/>
                <c:pt idx="0">
                  <c:v> EBT</c:v>
                </c:pt>
              </c:strCache>
            </c:strRef>
          </c:tx>
          <c:spPr>
            <a:solidFill>
              <a:schemeClr val="accent1">
                <a:tint val="70000"/>
                <a:alpha val="85000"/>
              </a:schemeClr>
            </a:solidFill>
            <a:ln w="9525" cap="flat" cmpd="sng" algn="ctr">
              <a:solidFill>
                <a:schemeClr val="accent1">
                  <a:tint val="70000"/>
                  <a:lumMod val="75000"/>
                </a:schemeClr>
              </a:solidFill>
              <a:round/>
            </a:ln>
            <a:effectLst/>
            <a:sp3d contourW="9525">
              <a:contourClr>
                <a:schemeClr val="accent1">
                  <a:tint val="70000"/>
                  <a:lumMod val="75000"/>
                </a:schemeClr>
              </a:contourClr>
            </a:sp3d>
          </c:spPr>
          <c:invertIfNegative val="0"/>
          <c:cat>
            <c:numRef>
              <c:f>Gráficas!$F$57:$H$57</c:f>
              <c:numCache>
                <c:formatCode>General</c:formatCode>
                <c:ptCount val="3"/>
                <c:pt idx="0">
                  <c:v>2018</c:v>
                </c:pt>
                <c:pt idx="1">
                  <c:v>2019</c:v>
                </c:pt>
                <c:pt idx="2">
                  <c:v>2020</c:v>
                </c:pt>
              </c:numCache>
            </c:numRef>
          </c:cat>
          <c:val>
            <c:numRef>
              <c:f>Gráficas!$F$62:$H$62</c:f>
              <c:numCache>
                <c:formatCode>#,##0,,</c:formatCode>
                <c:ptCount val="3"/>
                <c:pt idx="0">
                  <c:v>-28371111</c:v>
                </c:pt>
                <c:pt idx="1">
                  <c:v>185411589</c:v>
                </c:pt>
                <c:pt idx="2">
                  <c:v>331240975</c:v>
                </c:pt>
              </c:numCache>
            </c:numRef>
          </c:val>
          <c:extLst>
            <c:ext xmlns:c16="http://schemas.microsoft.com/office/drawing/2014/chart" uri="{C3380CC4-5D6E-409C-BE32-E72D297353CC}">
              <c16:uniqueId val="{00000004-A412-4F32-8CD2-D492DC8754C3}"/>
            </c:ext>
          </c:extLst>
        </c:ser>
        <c:dLbls>
          <c:showLegendKey val="0"/>
          <c:showVal val="0"/>
          <c:showCatName val="0"/>
          <c:showSerName val="0"/>
          <c:showPercent val="0"/>
          <c:showBubbleSize val="0"/>
        </c:dLbls>
        <c:gapWidth val="65"/>
        <c:shape val="box"/>
        <c:axId val="218257920"/>
        <c:axId val="218102528"/>
        <c:axId val="0"/>
        <c:extLst>
          <c:ext xmlns:c15="http://schemas.microsoft.com/office/drawing/2012/chart" uri="{02D57815-91ED-43cb-92C2-25804820EDAC}">
            <c15:filteredBarSeries>
              <c15:ser>
                <c:idx val="1"/>
                <c:order val="1"/>
                <c:tx>
                  <c:strRef>
                    <c:extLst>
                      <c:ext uri="{02D57815-91ED-43cb-92C2-25804820EDAC}">
                        <c15:formulaRef>
                          <c15:sqref>Gráficas!$B$59</c15:sqref>
                        </c15:formulaRef>
                      </c:ext>
                    </c:extLst>
                    <c:strCache>
                      <c:ptCount val="1"/>
                    </c:strCache>
                  </c:strRef>
                </c:tx>
                <c:spPr>
                  <a:solidFill>
                    <a:schemeClr val="accent1">
                      <a:shade val="70000"/>
                      <a:alpha val="85000"/>
                    </a:schemeClr>
                  </a:solidFill>
                  <a:ln w="9525" cap="flat" cmpd="sng" algn="ctr">
                    <a:solidFill>
                      <a:schemeClr val="accent1">
                        <a:shade val="70000"/>
                        <a:lumMod val="75000"/>
                      </a:schemeClr>
                    </a:solidFill>
                    <a:round/>
                  </a:ln>
                  <a:effectLst/>
                  <a:sp3d contourW="9525">
                    <a:contourClr>
                      <a:schemeClr val="accent1">
                        <a:shade val="70000"/>
                        <a:lumMod val="75000"/>
                      </a:schemeClr>
                    </a:contourClr>
                  </a:sp3d>
                </c:spPr>
                <c:invertIfNegative val="0"/>
                <c:cat>
                  <c:numRef>
                    <c:extLst>
                      <c:ext uri="{02D57815-91ED-43cb-92C2-25804820EDAC}">
                        <c15:formulaRef>
                          <c15:sqref>Gráficas!$F$57:$H$57</c15:sqref>
                        </c15:formulaRef>
                      </c:ext>
                    </c:extLst>
                    <c:numCache>
                      <c:formatCode>General</c:formatCode>
                      <c:ptCount val="3"/>
                      <c:pt idx="0">
                        <c:v>2018</c:v>
                      </c:pt>
                      <c:pt idx="1">
                        <c:v>2019</c:v>
                      </c:pt>
                      <c:pt idx="2">
                        <c:v>2020</c:v>
                      </c:pt>
                    </c:numCache>
                  </c:numRef>
                </c:cat>
                <c:val>
                  <c:numRef>
                    <c:extLst>
                      <c:ext uri="{02D57815-91ED-43cb-92C2-25804820EDAC}">
                        <c15:formulaRef>
                          <c15:sqref>Gráficas!$F$59:$H$59</c15:sqref>
                        </c15:formulaRef>
                      </c:ext>
                    </c:extLst>
                    <c:numCache>
                      <c:formatCode>#,##0,,</c:formatCode>
                      <c:ptCount val="3"/>
                    </c:numCache>
                  </c:numRef>
                </c:val>
                <c:extLst>
                  <c:ext xmlns:c16="http://schemas.microsoft.com/office/drawing/2014/chart" uri="{C3380CC4-5D6E-409C-BE32-E72D297353CC}">
                    <c16:uniqueId val="{00000001-A412-4F32-8CD2-D492DC8754C3}"/>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Gráficas!$B$61</c15:sqref>
                        </c15:formulaRef>
                      </c:ext>
                    </c:extLst>
                    <c:strCache>
                      <c:ptCount val="1"/>
                    </c:strCache>
                  </c:strRef>
                </c:tx>
                <c:spPr>
                  <a:solidFill>
                    <a:schemeClr val="accent1">
                      <a:tint val="90000"/>
                      <a:alpha val="85000"/>
                    </a:schemeClr>
                  </a:solidFill>
                  <a:ln w="9525" cap="flat" cmpd="sng" algn="ctr">
                    <a:solidFill>
                      <a:schemeClr val="accent1">
                        <a:tint val="90000"/>
                        <a:lumMod val="75000"/>
                      </a:schemeClr>
                    </a:solidFill>
                    <a:round/>
                  </a:ln>
                  <a:effectLst/>
                  <a:sp3d contourW="9525">
                    <a:contourClr>
                      <a:schemeClr val="accent1">
                        <a:tint val="90000"/>
                        <a:lumMod val="75000"/>
                      </a:schemeClr>
                    </a:contourClr>
                  </a:sp3d>
                </c:spPr>
                <c:invertIfNegative val="0"/>
                <c:cat>
                  <c:numRef>
                    <c:extLst xmlns:c15="http://schemas.microsoft.com/office/drawing/2012/chart">
                      <c:ext xmlns:c15="http://schemas.microsoft.com/office/drawing/2012/chart" uri="{02D57815-91ED-43cb-92C2-25804820EDAC}">
                        <c15:formulaRef>
                          <c15:sqref>Gráficas!$F$57:$H$57</c15:sqref>
                        </c15:formulaRef>
                      </c:ext>
                    </c:extLst>
                    <c:numCache>
                      <c:formatCode>General</c:formatCode>
                      <c:ptCount val="3"/>
                      <c:pt idx="0">
                        <c:v>2018</c:v>
                      </c:pt>
                      <c:pt idx="1">
                        <c:v>2019</c:v>
                      </c:pt>
                      <c:pt idx="2">
                        <c:v>2020</c:v>
                      </c:pt>
                    </c:numCache>
                  </c:numRef>
                </c:cat>
                <c:val>
                  <c:numRef>
                    <c:extLst xmlns:c15="http://schemas.microsoft.com/office/drawing/2012/chart">
                      <c:ext xmlns:c15="http://schemas.microsoft.com/office/drawing/2012/chart" uri="{02D57815-91ED-43cb-92C2-25804820EDAC}">
                        <c15:formulaRef>
                          <c15:sqref>Gráficas!$F$61:$H$61</c15:sqref>
                        </c15:formulaRef>
                      </c:ext>
                    </c:extLst>
                    <c:numCache>
                      <c:formatCode>#,##0,,</c:formatCode>
                      <c:ptCount val="3"/>
                    </c:numCache>
                  </c:numRef>
                </c:val>
                <c:extLst xmlns:c15="http://schemas.microsoft.com/office/drawing/2012/chart">
                  <c:ext xmlns:c16="http://schemas.microsoft.com/office/drawing/2014/chart" uri="{C3380CC4-5D6E-409C-BE32-E72D297353CC}">
                    <c16:uniqueId val="{00000003-A412-4F32-8CD2-D492DC8754C3}"/>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Gráficas!$B$63</c15:sqref>
                        </c15:formulaRef>
                      </c:ext>
                    </c:extLst>
                    <c:strCache>
                      <c:ptCount val="1"/>
                    </c:strCache>
                  </c:strRef>
                </c:tx>
                <c:spPr>
                  <a:solidFill>
                    <a:schemeClr val="accent1">
                      <a:tint val="50000"/>
                      <a:alpha val="85000"/>
                    </a:schemeClr>
                  </a:solidFill>
                  <a:ln w="9525" cap="flat" cmpd="sng" algn="ctr">
                    <a:solidFill>
                      <a:schemeClr val="accent1">
                        <a:tint val="50000"/>
                        <a:lumMod val="75000"/>
                      </a:schemeClr>
                    </a:solidFill>
                    <a:round/>
                  </a:ln>
                  <a:effectLst/>
                  <a:sp3d contourW="9525">
                    <a:contourClr>
                      <a:schemeClr val="accent1">
                        <a:tint val="50000"/>
                        <a:lumMod val="75000"/>
                      </a:schemeClr>
                    </a:contourClr>
                  </a:sp3d>
                </c:spPr>
                <c:invertIfNegative val="0"/>
                <c:cat>
                  <c:numRef>
                    <c:extLst xmlns:c15="http://schemas.microsoft.com/office/drawing/2012/chart">
                      <c:ext xmlns:c15="http://schemas.microsoft.com/office/drawing/2012/chart" uri="{02D57815-91ED-43cb-92C2-25804820EDAC}">
                        <c15:formulaRef>
                          <c15:sqref>Gráficas!$F$57:$H$57</c15:sqref>
                        </c15:formulaRef>
                      </c:ext>
                    </c:extLst>
                    <c:numCache>
                      <c:formatCode>General</c:formatCode>
                      <c:ptCount val="3"/>
                      <c:pt idx="0">
                        <c:v>2018</c:v>
                      </c:pt>
                      <c:pt idx="1">
                        <c:v>2019</c:v>
                      </c:pt>
                      <c:pt idx="2">
                        <c:v>2020</c:v>
                      </c:pt>
                    </c:numCache>
                  </c:numRef>
                </c:cat>
                <c:val>
                  <c:numRef>
                    <c:extLst xmlns:c15="http://schemas.microsoft.com/office/drawing/2012/chart">
                      <c:ext xmlns:c15="http://schemas.microsoft.com/office/drawing/2012/chart" uri="{02D57815-91ED-43cb-92C2-25804820EDAC}">
                        <c15:formulaRef>
                          <c15:sqref>Gráficas!$F$63:$H$63</c15:sqref>
                        </c15:formulaRef>
                      </c:ext>
                    </c:extLst>
                    <c:numCache>
                      <c:formatCode>#,##0,,</c:formatCode>
                      <c:ptCount val="3"/>
                    </c:numCache>
                  </c:numRef>
                </c:val>
                <c:extLst xmlns:c15="http://schemas.microsoft.com/office/drawing/2012/chart">
                  <c:ext xmlns:c16="http://schemas.microsoft.com/office/drawing/2014/chart" uri="{C3380CC4-5D6E-409C-BE32-E72D297353CC}">
                    <c16:uniqueId val="{00000005-A412-4F32-8CD2-D492DC8754C3}"/>
                  </c:ext>
                </c:extLst>
              </c15:ser>
            </c15:filteredBarSeries>
          </c:ext>
        </c:extLst>
      </c:bar3DChart>
      <c:catAx>
        <c:axId val="21825792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8102528"/>
        <c:crosses val="autoZero"/>
        <c:auto val="1"/>
        <c:lblAlgn val="ctr"/>
        <c:lblOffset val="100"/>
        <c:noMultiLvlLbl val="0"/>
      </c:catAx>
      <c:valAx>
        <c:axId val="218102528"/>
        <c:scaling>
          <c:orientation val="minMax"/>
        </c:scaling>
        <c:delete val="0"/>
        <c:axPos val="l"/>
        <c:majorGridlines>
          <c:spPr>
            <a:ln w="9525" cap="flat" cmpd="sng" algn="ctr">
              <a:solidFill>
                <a:schemeClr val="dk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crossAx val="218257920"/>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Análisis Horizontal del Estado de Resultados </a:t>
            </a:r>
          </a:p>
        </c:rich>
      </c:tx>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7857142857142856E-2"/>
          <c:y val="0.13705979216372779"/>
          <c:w val="0.96726190476190477"/>
          <c:h val="0.73500996432869925"/>
        </c:manualLayout>
      </c:layout>
      <c:bar3DChart>
        <c:barDir val="col"/>
        <c:grouping val="clustered"/>
        <c:varyColors val="0"/>
        <c:ser>
          <c:idx val="0"/>
          <c:order val="0"/>
          <c:tx>
            <c:strRef>
              <c:f>'Análisis Horizontal'!$B$76</c:f>
              <c:strCache>
                <c:ptCount val="1"/>
                <c:pt idx="0">
                  <c:v>2015</c:v>
                </c:pt>
              </c:strCache>
            </c:strRef>
          </c:tx>
          <c:spPr>
            <a:solidFill>
              <a:schemeClr val="accent1"/>
            </a:solidFill>
            <a:ln>
              <a:noFill/>
            </a:ln>
            <a:effectLst/>
            <a:sp3d/>
          </c:spPr>
          <c:invertIfNegative val="0"/>
          <c:cat>
            <c:strRef>
              <c:f>'Análisis Horizontal'!$A$77:$A$82</c:f>
              <c:strCache>
                <c:ptCount val="6"/>
                <c:pt idx="0">
                  <c:v>INGRESOS DE ACTIVIDADES ORDINARIAS</c:v>
                </c:pt>
                <c:pt idx="1">
                  <c:v>MARGEN BRUTO</c:v>
                </c:pt>
                <c:pt idx="2">
                  <c:v>(-) GASTOS DE ADMINISTRACION </c:v>
                </c:pt>
                <c:pt idx="3">
                  <c:v>(-) OTROS GASTOS</c:v>
                </c:pt>
                <c:pt idx="4">
                  <c:v>MARGEN ANTES DE IMPUESTOS</c:v>
                </c:pt>
                <c:pt idx="5">
                  <c:v>RESULTADO DEL PERIODO</c:v>
                </c:pt>
              </c:strCache>
            </c:strRef>
          </c:cat>
          <c:val>
            <c:numRef>
              <c:f>'Análisis Horizontal'!$B$77:$B$82</c:f>
              <c:numCache>
                <c:formatCode>#,##0,,</c:formatCode>
                <c:ptCount val="6"/>
                <c:pt idx="0">
                  <c:v>904879380</c:v>
                </c:pt>
                <c:pt idx="1">
                  <c:v>465266482</c:v>
                </c:pt>
                <c:pt idx="2">
                  <c:v>418591551</c:v>
                </c:pt>
                <c:pt idx="3">
                  <c:v>16020653</c:v>
                </c:pt>
                <c:pt idx="4">
                  <c:v>32217792</c:v>
                </c:pt>
                <c:pt idx="5">
                  <c:v>17863792</c:v>
                </c:pt>
              </c:numCache>
            </c:numRef>
          </c:val>
          <c:extLst>
            <c:ext xmlns:c16="http://schemas.microsoft.com/office/drawing/2014/chart" uri="{C3380CC4-5D6E-409C-BE32-E72D297353CC}">
              <c16:uniqueId val="{00000000-B3E2-4EF5-AB16-89184E8B5BE8}"/>
            </c:ext>
          </c:extLst>
        </c:ser>
        <c:ser>
          <c:idx val="1"/>
          <c:order val="1"/>
          <c:tx>
            <c:strRef>
              <c:f>'Análisis Horizontal'!$C$76</c:f>
              <c:strCache>
                <c:ptCount val="1"/>
                <c:pt idx="0">
                  <c:v>2016</c:v>
                </c:pt>
              </c:strCache>
            </c:strRef>
          </c:tx>
          <c:spPr>
            <a:solidFill>
              <a:schemeClr val="accent2"/>
            </a:solidFill>
            <a:ln>
              <a:noFill/>
            </a:ln>
            <a:effectLst/>
            <a:sp3d/>
          </c:spPr>
          <c:invertIfNegative val="0"/>
          <c:cat>
            <c:strRef>
              <c:f>'Análisis Horizontal'!$A$77:$A$82</c:f>
              <c:strCache>
                <c:ptCount val="6"/>
                <c:pt idx="0">
                  <c:v>INGRESOS DE ACTIVIDADES ORDINARIAS</c:v>
                </c:pt>
                <c:pt idx="1">
                  <c:v>MARGEN BRUTO</c:v>
                </c:pt>
                <c:pt idx="2">
                  <c:v>(-) GASTOS DE ADMINISTRACION </c:v>
                </c:pt>
                <c:pt idx="3">
                  <c:v>(-) OTROS GASTOS</c:v>
                </c:pt>
                <c:pt idx="4">
                  <c:v>MARGEN ANTES DE IMPUESTOS</c:v>
                </c:pt>
                <c:pt idx="5">
                  <c:v>RESULTADO DEL PERIODO</c:v>
                </c:pt>
              </c:strCache>
            </c:strRef>
          </c:cat>
          <c:val>
            <c:numRef>
              <c:f>'Análisis Horizontal'!$C$77:$C$82</c:f>
              <c:numCache>
                <c:formatCode>#,##0,,</c:formatCode>
                <c:ptCount val="6"/>
                <c:pt idx="0">
                  <c:v>1043977031</c:v>
                </c:pt>
                <c:pt idx="1">
                  <c:v>425205970</c:v>
                </c:pt>
                <c:pt idx="2">
                  <c:v>379747737</c:v>
                </c:pt>
                <c:pt idx="3">
                  <c:v>18848871</c:v>
                </c:pt>
                <c:pt idx="4">
                  <c:v>31568062</c:v>
                </c:pt>
                <c:pt idx="5">
                  <c:v>16990062</c:v>
                </c:pt>
              </c:numCache>
            </c:numRef>
          </c:val>
          <c:extLst>
            <c:ext xmlns:c16="http://schemas.microsoft.com/office/drawing/2014/chart" uri="{C3380CC4-5D6E-409C-BE32-E72D297353CC}">
              <c16:uniqueId val="{00000001-B3E2-4EF5-AB16-89184E8B5BE8}"/>
            </c:ext>
          </c:extLst>
        </c:ser>
        <c:ser>
          <c:idx val="2"/>
          <c:order val="2"/>
          <c:tx>
            <c:strRef>
              <c:f>'Análisis Horizontal'!$D$76</c:f>
              <c:strCache>
                <c:ptCount val="1"/>
                <c:pt idx="0">
                  <c:v>2017</c:v>
                </c:pt>
              </c:strCache>
            </c:strRef>
          </c:tx>
          <c:spPr>
            <a:solidFill>
              <a:schemeClr val="accent3"/>
            </a:solidFill>
            <a:ln>
              <a:noFill/>
            </a:ln>
            <a:effectLst/>
            <a:sp3d/>
          </c:spPr>
          <c:invertIfNegative val="0"/>
          <c:cat>
            <c:strRef>
              <c:f>'Análisis Horizontal'!$A$77:$A$82</c:f>
              <c:strCache>
                <c:ptCount val="6"/>
                <c:pt idx="0">
                  <c:v>INGRESOS DE ACTIVIDADES ORDINARIAS</c:v>
                </c:pt>
                <c:pt idx="1">
                  <c:v>MARGEN BRUTO</c:v>
                </c:pt>
                <c:pt idx="2">
                  <c:v>(-) GASTOS DE ADMINISTRACION </c:v>
                </c:pt>
                <c:pt idx="3">
                  <c:v>(-) OTROS GASTOS</c:v>
                </c:pt>
                <c:pt idx="4">
                  <c:v>MARGEN ANTES DE IMPUESTOS</c:v>
                </c:pt>
                <c:pt idx="5">
                  <c:v>RESULTADO DEL PERIODO</c:v>
                </c:pt>
              </c:strCache>
            </c:strRef>
          </c:cat>
          <c:val>
            <c:numRef>
              <c:f>'Análisis Horizontal'!$D$77:$D$82</c:f>
              <c:numCache>
                <c:formatCode>#,##0,,</c:formatCode>
                <c:ptCount val="6"/>
                <c:pt idx="0">
                  <c:v>1262392367</c:v>
                </c:pt>
                <c:pt idx="1">
                  <c:v>1262392367</c:v>
                </c:pt>
                <c:pt idx="2">
                  <c:v>415544197</c:v>
                </c:pt>
                <c:pt idx="3">
                  <c:v>876221356</c:v>
                </c:pt>
                <c:pt idx="4">
                  <c:v>-50317583</c:v>
                </c:pt>
                <c:pt idx="5">
                  <c:v>-52372583</c:v>
                </c:pt>
              </c:numCache>
            </c:numRef>
          </c:val>
          <c:extLst>
            <c:ext xmlns:c16="http://schemas.microsoft.com/office/drawing/2014/chart" uri="{C3380CC4-5D6E-409C-BE32-E72D297353CC}">
              <c16:uniqueId val="{00000002-B3E2-4EF5-AB16-89184E8B5BE8}"/>
            </c:ext>
          </c:extLst>
        </c:ser>
        <c:ser>
          <c:idx val="3"/>
          <c:order val="3"/>
          <c:tx>
            <c:strRef>
              <c:f>'Análisis Horizontal'!$E$76</c:f>
              <c:strCache>
                <c:ptCount val="1"/>
                <c:pt idx="0">
                  <c:v>2018</c:v>
                </c:pt>
              </c:strCache>
            </c:strRef>
          </c:tx>
          <c:spPr>
            <a:solidFill>
              <a:schemeClr val="accent4"/>
            </a:solidFill>
            <a:ln>
              <a:noFill/>
            </a:ln>
            <a:effectLst/>
            <a:sp3d/>
          </c:spPr>
          <c:invertIfNegative val="0"/>
          <c:cat>
            <c:strRef>
              <c:f>'Análisis Horizontal'!$A$77:$A$82</c:f>
              <c:strCache>
                <c:ptCount val="6"/>
                <c:pt idx="0">
                  <c:v>INGRESOS DE ACTIVIDADES ORDINARIAS</c:v>
                </c:pt>
                <c:pt idx="1">
                  <c:v>MARGEN BRUTO</c:v>
                </c:pt>
                <c:pt idx="2">
                  <c:v>(-) GASTOS DE ADMINISTRACION </c:v>
                </c:pt>
                <c:pt idx="3">
                  <c:v>(-) OTROS GASTOS</c:v>
                </c:pt>
                <c:pt idx="4">
                  <c:v>MARGEN ANTES DE IMPUESTOS</c:v>
                </c:pt>
                <c:pt idx="5">
                  <c:v>RESULTADO DEL PERIODO</c:v>
                </c:pt>
              </c:strCache>
            </c:strRef>
          </c:cat>
          <c:val>
            <c:numRef>
              <c:f>'Análisis Horizontal'!$E$77:$E$82</c:f>
              <c:numCache>
                <c:formatCode>#,##0,,</c:formatCode>
                <c:ptCount val="6"/>
                <c:pt idx="0">
                  <c:v>1860941447</c:v>
                </c:pt>
                <c:pt idx="1">
                  <c:v>1860941447</c:v>
                </c:pt>
                <c:pt idx="2">
                  <c:v>703521762</c:v>
                </c:pt>
                <c:pt idx="3">
                  <c:v>1175414859</c:v>
                </c:pt>
                <c:pt idx="4">
                  <c:v>-28371111</c:v>
                </c:pt>
                <c:pt idx="5">
                  <c:v>-29761111</c:v>
                </c:pt>
              </c:numCache>
            </c:numRef>
          </c:val>
          <c:extLst>
            <c:ext xmlns:c16="http://schemas.microsoft.com/office/drawing/2014/chart" uri="{C3380CC4-5D6E-409C-BE32-E72D297353CC}">
              <c16:uniqueId val="{00000003-B3E2-4EF5-AB16-89184E8B5BE8}"/>
            </c:ext>
          </c:extLst>
        </c:ser>
        <c:ser>
          <c:idx val="4"/>
          <c:order val="4"/>
          <c:tx>
            <c:strRef>
              <c:f>'Análisis Horizontal'!$F$76</c:f>
              <c:strCache>
                <c:ptCount val="1"/>
                <c:pt idx="0">
                  <c:v>2019</c:v>
                </c:pt>
              </c:strCache>
            </c:strRef>
          </c:tx>
          <c:spPr>
            <a:solidFill>
              <a:schemeClr val="accent5"/>
            </a:solidFill>
            <a:ln>
              <a:noFill/>
            </a:ln>
            <a:effectLst/>
            <a:sp3d/>
          </c:spPr>
          <c:invertIfNegative val="0"/>
          <c:cat>
            <c:strRef>
              <c:f>'Análisis Horizontal'!$A$77:$A$82</c:f>
              <c:strCache>
                <c:ptCount val="6"/>
                <c:pt idx="0">
                  <c:v>INGRESOS DE ACTIVIDADES ORDINARIAS</c:v>
                </c:pt>
                <c:pt idx="1">
                  <c:v>MARGEN BRUTO</c:v>
                </c:pt>
                <c:pt idx="2">
                  <c:v>(-) GASTOS DE ADMINISTRACION </c:v>
                </c:pt>
                <c:pt idx="3">
                  <c:v>(-) OTROS GASTOS</c:v>
                </c:pt>
                <c:pt idx="4">
                  <c:v>MARGEN ANTES DE IMPUESTOS</c:v>
                </c:pt>
                <c:pt idx="5">
                  <c:v>RESULTADO DEL PERIODO</c:v>
                </c:pt>
              </c:strCache>
            </c:strRef>
          </c:cat>
          <c:val>
            <c:numRef>
              <c:f>'Análisis Horizontal'!$F$77:$F$82</c:f>
              <c:numCache>
                <c:formatCode>#,##0,,</c:formatCode>
                <c:ptCount val="6"/>
                <c:pt idx="0">
                  <c:v>2869401050</c:v>
                </c:pt>
                <c:pt idx="1">
                  <c:v>1364844587</c:v>
                </c:pt>
                <c:pt idx="2">
                  <c:v>1174056377</c:v>
                </c:pt>
                <c:pt idx="3">
                  <c:v>5973826</c:v>
                </c:pt>
                <c:pt idx="4">
                  <c:v>185411589</c:v>
                </c:pt>
                <c:pt idx="5">
                  <c:v>103030854</c:v>
                </c:pt>
              </c:numCache>
            </c:numRef>
          </c:val>
          <c:extLst>
            <c:ext xmlns:c16="http://schemas.microsoft.com/office/drawing/2014/chart" uri="{C3380CC4-5D6E-409C-BE32-E72D297353CC}">
              <c16:uniqueId val="{00000004-B3E2-4EF5-AB16-89184E8B5BE8}"/>
            </c:ext>
          </c:extLst>
        </c:ser>
        <c:ser>
          <c:idx val="5"/>
          <c:order val="5"/>
          <c:tx>
            <c:strRef>
              <c:f>'Análisis Horizontal'!$G$76</c:f>
              <c:strCache>
                <c:ptCount val="1"/>
                <c:pt idx="0">
                  <c:v>2020</c:v>
                </c:pt>
              </c:strCache>
            </c:strRef>
          </c:tx>
          <c:spPr>
            <a:solidFill>
              <a:schemeClr val="accent6"/>
            </a:solidFill>
            <a:ln>
              <a:noFill/>
            </a:ln>
            <a:effectLst/>
            <a:sp3d/>
          </c:spPr>
          <c:invertIfNegative val="0"/>
          <c:cat>
            <c:strRef>
              <c:f>'Análisis Horizontal'!$A$77:$A$82</c:f>
              <c:strCache>
                <c:ptCount val="6"/>
                <c:pt idx="0">
                  <c:v>INGRESOS DE ACTIVIDADES ORDINARIAS</c:v>
                </c:pt>
                <c:pt idx="1">
                  <c:v>MARGEN BRUTO</c:v>
                </c:pt>
                <c:pt idx="2">
                  <c:v>(-) GASTOS DE ADMINISTRACION </c:v>
                </c:pt>
                <c:pt idx="3">
                  <c:v>(-) OTROS GASTOS</c:v>
                </c:pt>
                <c:pt idx="4">
                  <c:v>MARGEN ANTES DE IMPUESTOS</c:v>
                </c:pt>
                <c:pt idx="5">
                  <c:v>RESULTADO DEL PERIODO</c:v>
                </c:pt>
              </c:strCache>
            </c:strRef>
          </c:cat>
          <c:val>
            <c:numRef>
              <c:f>'Análisis Horizontal'!$G$77:$G$82</c:f>
              <c:numCache>
                <c:formatCode>#,##0,,</c:formatCode>
                <c:ptCount val="6"/>
                <c:pt idx="0">
                  <c:v>3417084270</c:v>
                </c:pt>
                <c:pt idx="1">
                  <c:v>1648072179</c:v>
                </c:pt>
                <c:pt idx="2">
                  <c:v>1280972049</c:v>
                </c:pt>
                <c:pt idx="3">
                  <c:v>62486774</c:v>
                </c:pt>
                <c:pt idx="4">
                  <c:v>331240975</c:v>
                </c:pt>
                <c:pt idx="5">
                  <c:v>234424396</c:v>
                </c:pt>
              </c:numCache>
            </c:numRef>
          </c:val>
          <c:extLst>
            <c:ext xmlns:c16="http://schemas.microsoft.com/office/drawing/2014/chart" uri="{C3380CC4-5D6E-409C-BE32-E72D297353CC}">
              <c16:uniqueId val="{00000005-B3E2-4EF5-AB16-89184E8B5BE8}"/>
            </c:ext>
          </c:extLst>
        </c:ser>
        <c:dLbls>
          <c:showLegendKey val="0"/>
          <c:showVal val="0"/>
          <c:showCatName val="0"/>
          <c:showSerName val="0"/>
          <c:showPercent val="0"/>
          <c:showBubbleSize val="0"/>
        </c:dLbls>
        <c:gapWidth val="150"/>
        <c:shape val="box"/>
        <c:axId val="215208960"/>
        <c:axId val="213252288"/>
        <c:axId val="0"/>
      </c:bar3DChart>
      <c:catAx>
        <c:axId val="215208960"/>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3252288"/>
        <c:crosses val="autoZero"/>
        <c:auto val="1"/>
        <c:lblAlgn val="ctr"/>
        <c:lblOffset val="100"/>
        <c:noMultiLvlLbl val="0"/>
      </c:catAx>
      <c:valAx>
        <c:axId val="2132522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52089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Gráficas!$B$65</c:f>
              <c:strCache>
                <c:ptCount val="1"/>
                <c:pt idx="0">
                  <c:v>MARGEN EBITDA %</c:v>
                </c:pt>
              </c:strCache>
            </c:strRef>
          </c:tx>
          <c:spPr>
            <a:solidFill>
              <a:schemeClr val="accent1">
                <a:shade val="76000"/>
                <a:alpha val="85000"/>
              </a:schemeClr>
            </a:solidFill>
            <a:ln w="9525" cap="flat" cmpd="sng" algn="ctr">
              <a:solidFill>
                <a:schemeClr val="accent1">
                  <a:shade val="76000"/>
                  <a:lumMod val="75000"/>
                </a:schemeClr>
              </a:solidFill>
              <a:round/>
            </a:ln>
            <a:effectLst/>
            <a:sp3d contourW="9525">
              <a:contourClr>
                <a:schemeClr val="accent1">
                  <a:shade val="76000"/>
                  <a:lumMod val="75000"/>
                </a:schemeClr>
              </a:contourClr>
            </a:sp3d>
          </c:spPr>
          <c:invertIfNegative val="0"/>
          <c:cat>
            <c:numRef>
              <c:f>Gráficas!$F$64:$H$64</c:f>
              <c:numCache>
                <c:formatCode>General</c:formatCode>
                <c:ptCount val="3"/>
                <c:pt idx="0">
                  <c:v>2018</c:v>
                </c:pt>
                <c:pt idx="1">
                  <c:v>2019</c:v>
                </c:pt>
                <c:pt idx="2">
                  <c:v>2020</c:v>
                </c:pt>
              </c:numCache>
            </c:numRef>
          </c:cat>
          <c:val>
            <c:numRef>
              <c:f>Gráficas!$F$65:$H$65</c:f>
              <c:numCache>
                <c:formatCode>0%</c:formatCode>
                <c:ptCount val="3"/>
                <c:pt idx="0">
                  <c:v>1.0537414770148865</c:v>
                </c:pt>
                <c:pt idx="1">
                  <c:v>0.51493959584352977</c:v>
                </c:pt>
                <c:pt idx="2">
                  <c:v>0.51116454614097062</c:v>
                </c:pt>
              </c:numCache>
            </c:numRef>
          </c:val>
          <c:extLst>
            <c:ext xmlns:c16="http://schemas.microsoft.com/office/drawing/2014/chart" uri="{C3380CC4-5D6E-409C-BE32-E72D297353CC}">
              <c16:uniqueId val="{00000000-D5B9-4463-8FB7-5C3156E2A388}"/>
            </c:ext>
          </c:extLst>
        </c:ser>
        <c:dLbls>
          <c:showLegendKey val="0"/>
          <c:showVal val="0"/>
          <c:showCatName val="0"/>
          <c:showSerName val="0"/>
          <c:showPercent val="0"/>
          <c:showBubbleSize val="0"/>
        </c:dLbls>
        <c:gapWidth val="65"/>
        <c:shape val="box"/>
        <c:axId val="218878464"/>
        <c:axId val="218440256"/>
        <c:axId val="0"/>
        <c:extLst>
          <c:ext xmlns:c15="http://schemas.microsoft.com/office/drawing/2012/chart" uri="{02D57815-91ED-43cb-92C2-25804820EDAC}">
            <c15:filteredBarSeries>
              <c15:ser>
                <c:idx val="1"/>
                <c:order val="1"/>
                <c:tx>
                  <c:strRef>
                    <c:extLst>
                      <c:ext uri="{02D57815-91ED-43cb-92C2-25804820EDAC}">
                        <c15:formulaRef>
                          <c15:sqref>Gráficas!$B$66</c15:sqref>
                        </c15:formulaRef>
                      </c:ext>
                    </c:extLst>
                    <c:strCache>
                      <c:ptCount val="1"/>
                    </c:strCache>
                  </c:strRef>
                </c:tx>
                <c:spPr>
                  <a:solidFill>
                    <a:schemeClr val="accent1">
                      <a:tint val="77000"/>
                      <a:alpha val="85000"/>
                    </a:schemeClr>
                  </a:solidFill>
                  <a:ln w="9525" cap="flat" cmpd="sng" algn="ctr">
                    <a:solidFill>
                      <a:schemeClr val="accent1">
                        <a:tint val="77000"/>
                        <a:lumMod val="75000"/>
                      </a:schemeClr>
                    </a:solidFill>
                    <a:round/>
                  </a:ln>
                  <a:effectLst/>
                  <a:sp3d contourW="9525">
                    <a:contourClr>
                      <a:schemeClr val="accent1">
                        <a:tint val="77000"/>
                        <a:lumMod val="75000"/>
                      </a:schemeClr>
                    </a:contourClr>
                  </a:sp3d>
                </c:spPr>
                <c:invertIfNegative val="0"/>
                <c:cat>
                  <c:numRef>
                    <c:extLst>
                      <c:ext uri="{02D57815-91ED-43cb-92C2-25804820EDAC}">
                        <c15:formulaRef>
                          <c15:sqref>Gráficas!$F$64:$H$64</c15:sqref>
                        </c15:formulaRef>
                      </c:ext>
                    </c:extLst>
                    <c:numCache>
                      <c:formatCode>General</c:formatCode>
                      <c:ptCount val="3"/>
                      <c:pt idx="0">
                        <c:v>2018</c:v>
                      </c:pt>
                      <c:pt idx="1">
                        <c:v>2019</c:v>
                      </c:pt>
                      <c:pt idx="2">
                        <c:v>2020</c:v>
                      </c:pt>
                    </c:numCache>
                  </c:numRef>
                </c:cat>
                <c:val>
                  <c:numRef>
                    <c:extLst>
                      <c:ext uri="{02D57815-91ED-43cb-92C2-25804820EDAC}">
                        <c15:formulaRef>
                          <c15:sqref>Gráficas!$F$66:$H$66</c15:sqref>
                        </c15:formulaRef>
                      </c:ext>
                    </c:extLst>
                    <c:numCache>
                      <c:formatCode>0%</c:formatCode>
                      <c:ptCount val="3"/>
                    </c:numCache>
                  </c:numRef>
                </c:val>
                <c:extLst>
                  <c:ext xmlns:c16="http://schemas.microsoft.com/office/drawing/2014/chart" uri="{C3380CC4-5D6E-409C-BE32-E72D297353CC}">
                    <c16:uniqueId val="{00000001-D5B9-4463-8FB7-5C3156E2A388}"/>
                  </c:ext>
                </c:extLst>
              </c15:ser>
            </c15:filteredBarSeries>
          </c:ext>
        </c:extLst>
      </c:bar3DChart>
      <c:catAx>
        <c:axId val="218878464"/>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8440256"/>
        <c:crosses val="autoZero"/>
        <c:auto val="1"/>
        <c:lblAlgn val="ctr"/>
        <c:lblOffset val="100"/>
        <c:noMultiLvlLbl val="0"/>
      </c:catAx>
      <c:valAx>
        <c:axId val="218440256"/>
        <c:scaling>
          <c:orientation val="minMax"/>
        </c:scaling>
        <c:delete val="0"/>
        <c:axPos val="l"/>
        <c:majorGridlines>
          <c:spPr>
            <a:ln w="9525" cap="flat" cmpd="sng" algn="ctr">
              <a:solidFill>
                <a:schemeClr val="dk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crossAx val="218878464"/>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Razón</a:t>
            </a:r>
            <a:r>
              <a:rPr lang="en-US" baseline="0"/>
              <a:t> </a:t>
            </a:r>
            <a:r>
              <a:rPr lang="en-US"/>
              <a:t>Corriente</a:t>
            </a:r>
          </a:p>
        </c:rich>
      </c:tx>
      <c:overlay val="0"/>
      <c:spPr>
        <a:noFill/>
        <a:ln>
          <a:noFill/>
        </a:ln>
        <a:effectLst/>
      </c:sp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1"/>
          <c:order val="1"/>
          <c:tx>
            <c:strRef>
              <c:f>'Peer Group '!$I$2</c:f>
              <c:strCache>
                <c:ptCount val="1"/>
                <c:pt idx="0">
                  <c:v>R.Cte.</c:v>
                </c:pt>
              </c:strCache>
            </c:strRef>
          </c:tx>
          <c:spPr>
            <a:solidFill>
              <a:schemeClr val="accent1">
                <a:tint val="77000"/>
                <a:alpha val="85000"/>
              </a:schemeClr>
            </a:solidFill>
            <a:ln w="9525" cap="flat" cmpd="sng" algn="ctr">
              <a:solidFill>
                <a:schemeClr val="accent1">
                  <a:tint val="77000"/>
                  <a:lumMod val="75000"/>
                </a:schemeClr>
              </a:solidFill>
              <a:round/>
            </a:ln>
            <a:effectLst/>
            <a:sp3d contourW="9525">
              <a:contourClr>
                <a:schemeClr val="accent1">
                  <a:tint val="77000"/>
                  <a:lumMod val="75000"/>
                </a:schemeClr>
              </a:contourClr>
            </a:sp3d>
          </c:spPr>
          <c:invertIfNegative val="0"/>
          <c:cat>
            <c:strRef>
              <c:f>'Peer Group '!$J$1:$L$1</c:f>
              <c:strCache>
                <c:ptCount val="3"/>
                <c:pt idx="0">
                  <c:v> Cavca</c:v>
                </c:pt>
                <c:pt idx="1">
                  <c:v>Anpro</c:v>
                </c:pt>
                <c:pt idx="2">
                  <c:v>SECTOR </c:v>
                </c:pt>
              </c:strCache>
            </c:strRef>
          </c:cat>
          <c:val>
            <c:numRef>
              <c:f>'Peer Group '!$J$2:$L$2</c:f>
              <c:numCache>
                <c:formatCode>#,##0.00</c:formatCode>
                <c:ptCount val="3"/>
                <c:pt idx="0">
                  <c:v>1.5668307785856241</c:v>
                </c:pt>
                <c:pt idx="1">
                  <c:v>2.3971429999452591</c:v>
                </c:pt>
                <c:pt idx="2">
                  <c:v>1.733282298747796</c:v>
                </c:pt>
              </c:numCache>
            </c:numRef>
          </c:val>
          <c:extLst>
            <c:ext xmlns:c16="http://schemas.microsoft.com/office/drawing/2014/chart" uri="{C3380CC4-5D6E-409C-BE32-E72D297353CC}">
              <c16:uniqueId val="{00000001-E5EE-493A-AEF3-BE2E3121DC56}"/>
            </c:ext>
          </c:extLst>
        </c:ser>
        <c:dLbls>
          <c:showLegendKey val="0"/>
          <c:showVal val="0"/>
          <c:showCatName val="0"/>
          <c:showSerName val="0"/>
          <c:showPercent val="0"/>
          <c:showBubbleSize val="0"/>
        </c:dLbls>
        <c:gapWidth val="65"/>
        <c:shape val="box"/>
        <c:axId val="218633216"/>
        <c:axId val="218443136"/>
        <c:axId val="0"/>
        <c:extLst>
          <c:ext xmlns:c15="http://schemas.microsoft.com/office/drawing/2012/chart" uri="{02D57815-91ED-43cb-92C2-25804820EDAC}">
            <c15:filteredBarSeries>
              <c15:ser>
                <c:idx val="0"/>
                <c:order val="0"/>
                <c:tx>
                  <c:strRef>
                    <c:extLst>
                      <c:ext uri="{02D57815-91ED-43cb-92C2-25804820EDAC}">
                        <c15:formulaRef>
                          <c15:sqref>'Peer Group '!#REF!</c15:sqref>
                        </c15:formulaRef>
                      </c:ext>
                    </c:extLst>
                    <c:strCache>
                      <c:ptCount val="1"/>
                      <c:pt idx="0">
                        <c:v>#REF!</c:v>
                      </c:pt>
                    </c:strCache>
                  </c:strRef>
                </c:tx>
                <c:spPr>
                  <a:solidFill>
                    <a:schemeClr val="accent1">
                      <a:shade val="76000"/>
                      <a:alpha val="85000"/>
                    </a:schemeClr>
                  </a:solidFill>
                  <a:ln w="9525" cap="flat" cmpd="sng" algn="ctr">
                    <a:solidFill>
                      <a:schemeClr val="accent1">
                        <a:shade val="76000"/>
                        <a:lumMod val="75000"/>
                      </a:schemeClr>
                    </a:solidFill>
                    <a:round/>
                  </a:ln>
                  <a:effectLst/>
                  <a:sp3d contourW="9525">
                    <a:contourClr>
                      <a:schemeClr val="accent1">
                        <a:shade val="76000"/>
                        <a:lumMod val="75000"/>
                      </a:schemeClr>
                    </a:contourClr>
                  </a:sp3d>
                </c:spPr>
                <c:invertIfNegative val="0"/>
                <c:cat>
                  <c:strRef>
                    <c:extLst>
                      <c:ext uri="{02D57815-91ED-43cb-92C2-25804820EDAC}">
                        <c15:formulaRef>
                          <c15:sqref>'Peer Group '!$J$1:$L$1</c15:sqref>
                        </c15:formulaRef>
                      </c:ext>
                    </c:extLst>
                    <c:strCache>
                      <c:ptCount val="3"/>
                      <c:pt idx="0">
                        <c:v> Cavca</c:v>
                      </c:pt>
                      <c:pt idx="1">
                        <c:v>Anpro</c:v>
                      </c:pt>
                      <c:pt idx="2">
                        <c:v>SECTOR </c:v>
                      </c:pt>
                    </c:strCache>
                  </c:strRef>
                </c:cat>
                <c:val>
                  <c:numRef>
                    <c:extLst>
                      <c:ext uri="{02D57815-91ED-43cb-92C2-25804820EDAC}">
                        <c15:formulaRef>
                          <c15:sqref>'Peer Group '!#REF!</c15:sqref>
                        </c15:formulaRef>
                      </c:ext>
                    </c:extLst>
                    <c:numCache>
                      <c:formatCode>General</c:formatCode>
                      <c:ptCount val="1"/>
                      <c:pt idx="0">
                        <c:v>1</c:v>
                      </c:pt>
                    </c:numCache>
                  </c:numRef>
                </c:val>
                <c:extLst>
                  <c:ext xmlns:c16="http://schemas.microsoft.com/office/drawing/2014/chart" uri="{C3380CC4-5D6E-409C-BE32-E72D297353CC}">
                    <c16:uniqueId val="{00000000-E5EE-493A-AEF3-BE2E3121DC56}"/>
                  </c:ext>
                </c:extLst>
              </c15:ser>
            </c15:filteredBarSeries>
          </c:ext>
        </c:extLst>
      </c:bar3DChart>
      <c:catAx>
        <c:axId val="21863321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8443136"/>
        <c:crosses val="autoZero"/>
        <c:auto val="1"/>
        <c:lblAlgn val="ctr"/>
        <c:lblOffset val="100"/>
        <c:noMultiLvlLbl val="0"/>
      </c:catAx>
      <c:valAx>
        <c:axId val="218443136"/>
        <c:scaling>
          <c:orientation val="minMax"/>
        </c:scaling>
        <c:delete val="0"/>
        <c:axPos val="l"/>
        <c:majorGridlines>
          <c:spPr>
            <a:ln w="9525" cap="flat" cmpd="sng" algn="ctr">
              <a:solidFill>
                <a:schemeClr val="dk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crossAx val="218633216"/>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CO"/>
              <a:t>Ciclo Efectivo</a:t>
            </a:r>
          </a:p>
        </c:rich>
      </c:tx>
      <c:overlay val="0"/>
      <c:spPr>
        <a:noFill/>
        <a:ln>
          <a:noFill/>
        </a:ln>
        <a:effectLst/>
      </c:sp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'Peer Group '!$I$4</c:f>
              <c:strCache>
                <c:ptCount val="1"/>
                <c:pt idx="0">
                  <c:v>Ciclo Efe.</c:v>
                </c:pt>
              </c:strCache>
            </c:strRef>
          </c:tx>
          <c:spPr>
            <a:solidFill>
              <a:schemeClr val="accent1">
                <a:alpha val="85000"/>
              </a:schemeClr>
            </a:solidFill>
            <a:ln w="9525" cap="flat" cmpd="sng" algn="ctr">
              <a:solidFill>
                <a:schemeClr val="accent1">
                  <a:lumMod val="75000"/>
                </a:schemeClr>
              </a:solidFill>
              <a:round/>
            </a:ln>
            <a:effectLst/>
            <a:sp3d contourW="9525">
              <a:contourClr>
                <a:schemeClr val="accent1">
                  <a:lumMod val="75000"/>
                </a:schemeClr>
              </a:contourClr>
            </a:sp3d>
          </c:spPr>
          <c:invertIfNegative val="0"/>
          <c:cat>
            <c:strRef>
              <c:f>'Peer Group '!$J$3:$L$3</c:f>
              <c:strCache>
                <c:ptCount val="3"/>
                <c:pt idx="0">
                  <c:v> Cavca</c:v>
                </c:pt>
                <c:pt idx="1">
                  <c:v>Anpro</c:v>
                </c:pt>
                <c:pt idx="2">
                  <c:v>SECTOR </c:v>
                </c:pt>
              </c:strCache>
            </c:strRef>
          </c:cat>
          <c:val>
            <c:numRef>
              <c:f>'Peer Group '!$J$4:$L$4</c:f>
              <c:numCache>
                <c:formatCode>#,##0.00</c:formatCode>
                <c:ptCount val="3"/>
                <c:pt idx="0">
                  <c:v>-17.314332587644152</c:v>
                </c:pt>
                <c:pt idx="1">
                  <c:v>-6.9800786379713209</c:v>
                </c:pt>
                <c:pt idx="2">
                  <c:v>-1.9139867607699843</c:v>
                </c:pt>
              </c:numCache>
            </c:numRef>
          </c:val>
          <c:extLst>
            <c:ext xmlns:c16="http://schemas.microsoft.com/office/drawing/2014/chart" uri="{C3380CC4-5D6E-409C-BE32-E72D297353CC}">
              <c16:uniqueId val="{00000000-1EBE-44DF-B5DF-CA48C9373341}"/>
            </c:ext>
          </c:extLst>
        </c:ser>
        <c:dLbls>
          <c:showLegendKey val="0"/>
          <c:showVal val="0"/>
          <c:showCatName val="0"/>
          <c:showSerName val="0"/>
          <c:showPercent val="0"/>
          <c:showBubbleSize val="0"/>
        </c:dLbls>
        <c:gapWidth val="65"/>
        <c:shape val="box"/>
        <c:axId val="218635264"/>
        <c:axId val="218444864"/>
        <c:axId val="0"/>
      </c:bar3DChart>
      <c:catAx>
        <c:axId val="218635264"/>
        <c:scaling>
          <c:orientation val="minMax"/>
        </c:scaling>
        <c:delete val="1"/>
        <c:axPos val="b"/>
        <c:numFmt formatCode="General" sourceLinked="1"/>
        <c:majorTickMark val="none"/>
        <c:minorTickMark val="none"/>
        <c:tickLblPos val="nextTo"/>
        <c:crossAx val="218444864"/>
        <c:crosses val="autoZero"/>
        <c:auto val="1"/>
        <c:lblAlgn val="ctr"/>
        <c:lblOffset val="100"/>
        <c:noMultiLvlLbl val="0"/>
      </c:catAx>
      <c:valAx>
        <c:axId val="218444864"/>
        <c:scaling>
          <c:orientation val="minMax"/>
        </c:scaling>
        <c:delete val="0"/>
        <c:axPos val="l"/>
        <c:majorGridlines>
          <c:spPr>
            <a:ln w="9525" cap="flat" cmpd="sng" algn="ctr">
              <a:solidFill>
                <a:schemeClr val="dk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crossAx val="218635264"/>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Razón Endeudamiento.</a:t>
            </a:r>
          </a:p>
        </c:rich>
      </c:tx>
      <c:overlay val="0"/>
      <c:spPr>
        <a:noFill/>
        <a:ln>
          <a:noFill/>
        </a:ln>
        <a:effectLst/>
      </c:sp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'Peer Group '!$I$6</c:f>
              <c:strCache>
                <c:ptCount val="1"/>
                <c:pt idx="0">
                  <c:v>R. End.</c:v>
                </c:pt>
              </c:strCache>
            </c:strRef>
          </c:tx>
          <c:spPr>
            <a:solidFill>
              <a:schemeClr val="accent1">
                <a:alpha val="85000"/>
              </a:schemeClr>
            </a:solidFill>
            <a:ln w="9525" cap="flat" cmpd="sng" algn="ctr">
              <a:solidFill>
                <a:schemeClr val="accent1">
                  <a:lumMod val="75000"/>
                </a:schemeClr>
              </a:solidFill>
              <a:round/>
            </a:ln>
            <a:effectLst/>
            <a:sp3d contourW="9525">
              <a:contourClr>
                <a:schemeClr val="accent1">
                  <a:lumMod val="75000"/>
                </a:schemeClr>
              </a:contourClr>
            </a:sp3d>
          </c:spPr>
          <c:invertIfNegative val="0"/>
          <c:cat>
            <c:strRef>
              <c:f>'Peer Group '!$J$5:$L$5</c:f>
              <c:strCache>
                <c:ptCount val="3"/>
                <c:pt idx="0">
                  <c:v> Cavca</c:v>
                </c:pt>
                <c:pt idx="1">
                  <c:v>Anpro</c:v>
                </c:pt>
                <c:pt idx="2">
                  <c:v>SECTOR </c:v>
                </c:pt>
              </c:strCache>
            </c:strRef>
          </c:cat>
          <c:val>
            <c:numRef>
              <c:f>'Peer Group '!$J$6:$L$6</c:f>
              <c:numCache>
                <c:formatCode>#,##0.00</c:formatCode>
                <c:ptCount val="3"/>
                <c:pt idx="0">
                  <c:v>1.2936893022304756</c:v>
                </c:pt>
                <c:pt idx="1">
                  <c:v>0.50125644347070519</c:v>
                </c:pt>
                <c:pt idx="2">
                  <c:v>1.8639033621471317</c:v>
                </c:pt>
              </c:numCache>
            </c:numRef>
          </c:val>
          <c:extLst>
            <c:ext xmlns:c16="http://schemas.microsoft.com/office/drawing/2014/chart" uri="{C3380CC4-5D6E-409C-BE32-E72D297353CC}">
              <c16:uniqueId val="{00000000-E9C3-47FD-B2A0-5C666F2ED348}"/>
            </c:ext>
          </c:extLst>
        </c:ser>
        <c:dLbls>
          <c:showLegendKey val="0"/>
          <c:showVal val="0"/>
          <c:showCatName val="0"/>
          <c:showSerName val="0"/>
          <c:showPercent val="0"/>
          <c:showBubbleSize val="0"/>
        </c:dLbls>
        <c:gapWidth val="65"/>
        <c:shape val="box"/>
        <c:axId val="215495168"/>
        <c:axId val="218447168"/>
        <c:axId val="0"/>
      </c:bar3DChart>
      <c:catAx>
        <c:axId val="215495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8447168"/>
        <c:crosses val="autoZero"/>
        <c:auto val="1"/>
        <c:lblAlgn val="ctr"/>
        <c:lblOffset val="100"/>
        <c:noMultiLvlLbl val="0"/>
      </c:catAx>
      <c:valAx>
        <c:axId val="218447168"/>
        <c:scaling>
          <c:orientation val="minMax"/>
        </c:scaling>
        <c:delete val="0"/>
        <c:axPos val="l"/>
        <c:majorGridlines>
          <c:spPr>
            <a:ln w="9525" cap="flat" cmpd="sng" algn="ctr">
              <a:solidFill>
                <a:schemeClr val="dk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crossAx val="215495168"/>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CO"/>
              <a:t>Rentabilidad</a:t>
            </a:r>
          </a:p>
        </c:rich>
      </c:tx>
      <c:overlay val="0"/>
      <c:spPr>
        <a:noFill/>
        <a:ln>
          <a:noFill/>
        </a:ln>
        <a:effectLst/>
      </c:sp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'Peer Group '!$J$7</c:f>
              <c:strCache>
                <c:ptCount val="1"/>
                <c:pt idx="0">
                  <c:v> Cavca</c:v>
                </c:pt>
              </c:strCache>
            </c:strRef>
          </c:tx>
          <c:spPr>
            <a:solidFill>
              <a:schemeClr val="accent1">
                <a:alpha val="85000"/>
              </a:schemeClr>
            </a:solidFill>
            <a:ln w="9525" cap="flat" cmpd="sng" algn="ctr">
              <a:solidFill>
                <a:schemeClr val="accent1">
                  <a:lumMod val="75000"/>
                </a:schemeClr>
              </a:solidFill>
              <a:round/>
            </a:ln>
            <a:effectLst/>
            <a:sp3d contourW="9525">
              <a:contourClr>
                <a:schemeClr val="accent1">
                  <a:lumMod val="75000"/>
                </a:schemeClr>
              </a:contourClr>
            </a:sp3d>
          </c:spPr>
          <c:invertIfNegative val="0"/>
          <c:cat>
            <c:strRef>
              <c:f>'Peer Group '!$I$8:$I$12</c:f>
              <c:strCache>
                <c:ptCount val="5"/>
                <c:pt idx="0">
                  <c:v>M.U.B.</c:v>
                </c:pt>
                <c:pt idx="1">
                  <c:v>Rent./vtas</c:v>
                </c:pt>
                <c:pt idx="2">
                  <c:v>ROA</c:v>
                </c:pt>
                <c:pt idx="3">
                  <c:v>ROE </c:v>
                </c:pt>
                <c:pt idx="4">
                  <c:v>EBITDA%</c:v>
                </c:pt>
              </c:strCache>
            </c:strRef>
          </c:cat>
          <c:val>
            <c:numRef>
              <c:f>'Peer Group '!$J$8:$J$12</c:f>
              <c:numCache>
                <c:formatCode>0.00%</c:formatCode>
                <c:ptCount val="5"/>
                <c:pt idx="0">
                  <c:v>0.48230363923685149</c:v>
                </c:pt>
                <c:pt idx="1">
                  <c:v>6.86036332372921E-2</c:v>
                </c:pt>
                <c:pt idx="2">
                  <c:v>0.23841384180928429</c:v>
                </c:pt>
                <c:pt idx="3">
                  <c:v>0.54684727846162429</c:v>
                </c:pt>
                <c:pt idx="4">
                  <c:v>0.51116454614097062</c:v>
                </c:pt>
              </c:numCache>
            </c:numRef>
          </c:val>
          <c:extLst>
            <c:ext xmlns:c16="http://schemas.microsoft.com/office/drawing/2014/chart" uri="{C3380CC4-5D6E-409C-BE32-E72D297353CC}">
              <c16:uniqueId val="{00000000-B7EE-4DE4-8385-72B93EFE15BA}"/>
            </c:ext>
          </c:extLst>
        </c:ser>
        <c:ser>
          <c:idx val="1"/>
          <c:order val="1"/>
          <c:tx>
            <c:strRef>
              <c:f>'Peer Group '!$K$7</c:f>
              <c:strCache>
                <c:ptCount val="1"/>
                <c:pt idx="0">
                  <c:v>Anpro</c:v>
                </c:pt>
              </c:strCache>
            </c:strRef>
          </c:tx>
          <c:spPr>
            <a:solidFill>
              <a:schemeClr val="accent2">
                <a:alpha val="85000"/>
              </a:schemeClr>
            </a:solidFill>
            <a:ln w="9525" cap="flat" cmpd="sng" algn="ctr">
              <a:solidFill>
                <a:schemeClr val="accent2">
                  <a:lumMod val="75000"/>
                </a:schemeClr>
              </a:solidFill>
              <a:round/>
            </a:ln>
            <a:effectLst/>
            <a:sp3d contourW="9525">
              <a:contourClr>
                <a:schemeClr val="accent2">
                  <a:lumMod val="75000"/>
                </a:schemeClr>
              </a:contourClr>
            </a:sp3d>
          </c:spPr>
          <c:invertIfNegative val="0"/>
          <c:cat>
            <c:strRef>
              <c:f>'Peer Group '!$I$8:$I$12</c:f>
              <c:strCache>
                <c:ptCount val="5"/>
                <c:pt idx="0">
                  <c:v>M.U.B.</c:v>
                </c:pt>
                <c:pt idx="1">
                  <c:v>Rent./vtas</c:v>
                </c:pt>
                <c:pt idx="2">
                  <c:v>ROA</c:v>
                </c:pt>
                <c:pt idx="3">
                  <c:v>ROE </c:v>
                </c:pt>
                <c:pt idx="4">
                  <c:v>EBITDA%</c:v>
                </c:pt>
              </c:strCache>
            </c:strRef>
          </c:cat>
          <c:val>
            <c:numRef>
              <c:f>'Peer Group '!$K$8:$K$12</c:f>
              <c:numCache>
                <c:formatCode>0.00%</c:formatCode>
                <c:ptCount val="5"/>
                <c:pt idx="0">
                  <c:v>4.7159919268844885E-2</c:v>
                </c:pt>
                <c:pt idx="1">
                  <c:v>3.3017532340392931E-2</c:v>
                </c:pt>
                <c:pt idx="2">
                  <c:v>6.3351620062139374E-2</c:v>
                </c:pt>
                <c:pt idx="3">
                  <c:v>9.5106960281033937E-2</c:v>
                </c:pt>
                <c:pt idx="4">
                  <c:v>4.7159919268844885E-2</c:v>
                </c:pt>
              </c:numCache>
            </c:numRef>
          </c:val>
          <c:extLst>
            <c:ext xmlns:c16="http://schemas.microsoft.com/office/drawing/2014/chart" uri="{C3380CC4-5D6E-409C-BE32-E72D297353CC}">
              <c16:uniqueId val="{00000001-B7EE-4DE4-8385-72B93EFE15BA}"/>
            </c:ext>
          </c:extLst>
        </c:ser>
        <c:ser>
          <c:idx val="2"/>
          <c:order val="2"/>
          <c:tx>
            <c:strRef>
              <c:f>'Peer Group '!$L$7</c:f>
              <c:strCache>
                <c:ptCount val="1"/>
                <c:pt idx="0">
                  <c:v>SECTOR </c:v>
                </c:pt>
              </c:strCache>
            </c:strRef>
          </c:tx>
          <c:spPr>
            <a:solidFill>
              <a:schemeClr val="accent3">
                <a:alpha val="85000"/>
              </a:schemeClr>
            </a:solidFill>
            <a:ln w="9525" cap="flat" cmpd="sng" algn="ctr">
              <a:solidFill>
                <a:schemeClr val="accent3">
                  <a:lumMod val="75000"/>
                </a:schemeClr>
              </a:solidFill>
              <a:round/>
            </a:ln>
            <a:effectLst/>
            <a:sp3d contourW="9525">
              <a:contourClr>
                <a:schemeClr val="accent3">
                  <a:lumMod val="75000"/>
                </a:schemeClr>
              </a:contourClr>
            </a:sp3d>
          </c:spPr>
          <c:invertIfNegative val="0"/>
          <c:cat>
            <c:strRef>
              <c:f>'Peer Group '!$I$8:$I$12</c:f>
              <c:strCache>
                <c:ptCount val="5"/>
                <c:pt idx="0">
                  <c:v>M.U.B.</c:v>
                </c:pt>
                <c:pt idx="1">
                  <c:v>Rent./vtas</c:v>
                </c:pt>
                <c:pt idx="2">
                  <c:v>ROA</c:v>
                </c:pt>
                <c:pt idx="3">
                  <c:v>ROE </c:v>
                </c:pt>
                <c:pt idx="4">
                  <c:v>EBITDA%</c:v>
                </c:pt>
              </c:strCache>
            </c:strRef>
          </c:cat>
          <c:val>
            <c:numRef>
              <c:f>'Peer Group '!$L$8:$L$12</c:f>
              <c:numCache>
                <c:formatCode>0.00%</c:formatCode>
                <c:ptCount val="5"/>
                <c:pt idx="0">
                  <c:v>0.10288674850424406</c:v>
                </c:pt>
                <c:pt idx="1">
                  <c:v>5.6655106944716004E-2</c:v>
                </c:pt>
                <c:pt idx="2">
                  <c:v>6.2227516276997845E-2</c:v>
                </c:pt>
                <c:pt idx="3">
                  <c:v>0.16493328435415686</c:v>
                </c:pt>
                <c:pt idx="4">
                  <c:v>9.5285699039997007E-2</c:v>
                </c:pt>
              </c:numCache>
            </c:numRef>
          </c:val>
          <c:extLst>
            <c:ext xmlns:c16="http://schemas.microsoft.com/office/drawing/2014/chart" uri="{C3380CC4-5D6E-409C-BE32-E72D297353CC}">
              <c16:uniqueId val="{00000002-B7EE-4DE4-8385-72B93EFE15BA}"/>
            </c:ext>
          </c:extLst>
        </c:ser>
        <c:dLbls>
          <c:showLegendKey val="0"/>
          <c:showVal val="0"/>
          <c:showCatName val="0"/>
          <c:showSerName val="0"/>
          <c:showPercent val="0"/>
          <c:showBubbleSize val="0"/>
        </c:dLbls>
        <c:gapWidth val="65"/>
        <c:shape val="box"/>
        <c:axId val="215496192"/>
        <c:axId val="215360064"/>
        <c:axId val="0"/>
      </c:bar3DChart>
      <c:catAx>
        <c:axId val="215496192"/>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5360064"/>
        <c:crosses val="autoZero"/>
        <c:auto val="1"/>
        <c:lblAlgn val="ctr"/>
        <c:lblOffset val="100"/>
        <c:noMultiLvlLbl val="0"/>
      </c:catAx>
      <c:valAx>
        <c:axId val="215360064"/>
        <c:scaling>
          <c:orientation val="minMax"/>
        </c:scaling>
        <c:delete val="0"/>
        <c:axPos val="l"/>
        <c:majorGridlines>
          <c:spPr>
            <a:ln w="9525" cap="flat" cmpd="sng" algn="ctr">
              <a:solidFill>
                <a:schemeClr val="dk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crossAx val="215496192"/>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'Peer Group '!$I$15</c:f>
              <c:strCache>
                <c:ptCount val="1"/>
                <c:pt idx="0">
                  <c:v>Razón corriente </c:v>
                </c:pt>
              </c:strCache>
            </c:strRef>
          </c:tx>
          <c:spPr>
            <a:solidFill>
              <a:schemeClr val="accent1">
                <a:alpha val="85000"/>
              </a:schemeClr>
            </a:solidFill>
            <a:ln w="9525" cap="flat" cmpd="sng" algn="ctr">
              <a:solidFill>
                <a:schemeClr val="accent1">
                  <a:lumMod val="75000"/>
                </a:schemeClr>
              </a:solidFill>
              <a:round/>
            </a:ln>
            <a:effectLst/>
            <a:sp3d contourW="9525">
              <a:contourClr>
                <a:schemeClr val="accent1">
                  <a:lumMod val="75000"/>
                </a:schemeClr>
              </a:contourClr>
            </a:sp3d>
          </c:spPr>
          <c:invertIfNegative val="0"/>
          <c:cat>
            <c:strRef>
              <c:f>'Peer Group '!$J$14:$L$14</c:f>
              <c:strCache>
                <c:ptCount val="3"/>
                <c:pt idx="0">
                  <c:v> Cavca</c:v>
                </c:pt>
                <c:pt idx="1">
                  <c:v>Gen Kieffer </c:v>
                </c:pt>
                <c:pt idx="2">
                  <c:v>SECTOR </c:v>
                </c:pt>
              </c:strCache>
            </c:strRef>
          </c:cat>
          <c:val>
            <c:numRef>
              <c:f>'Peer Group '!$J$15:$L$15</c:f>
              <c:numCache>
                <c:formatCode>#,##0.00</c:formatCode>
                <c:ptCount val="3"/>
                <c:pt idx="0">
                  <c:v>1.5668307785856241</c:v>
                </c:pt>
                <c:pt idx="1">
                  <c:v>1.4596211458933881</c:v>
                </c:pt>
                <c:pt idx="2">
                  <c:v>1.733282298747796</c:v>
                </c:pt>
              </c:numCache>
            </c:numRef>
          </c:val>
          <c:extLst>
            <c:ext xmlns:c16="http://schemas.microsoft.com/office/drawing/2014/chart" uri="{C3380CC4-5D6E-409C-BE32-E72D297353CC}">
              <c16:uniqueId val="{00000000-CE86-4311-ACC4-6C9E211BC7D9}"/>
            </c:ext>
          </c:extLst>
        </c:ser>
        <c:dLbls>
          <c:showLegendKey val="0"/>
          <c:showVal val="0"/>
          <c:showCatName val="0"/>
          <c:showSerName val="0"/>
          <c:showPercent val="0"/>
          <c:showBubbleSize val="0"/>
        </c:dLbls>
        <c:gapWidth val="65"/>
        <c:shape val="box"/>
        <c:axId val="215498240"/>
        <c:axId val="215362368"/>
        <c:axId val="0"/>
      </c:bar3DChart>
      <c:catAx>
        <c:axId val="21549824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5362368"/>
        <c:crosses val="autoZero"/>
        <c:auto val="1"/>
        <c:lblAlgn val="ctr"/>
        <c:lblOffset val="100"/>
        <c:noMultiLvlLbl val="0"/>
      </c:catAx>
      <c:valAx>
        <c:axId val="215362368"/>
        <c:scaling>
          <c:orientation val="minMax"/>
        </c:scaling>
        <c:delete val="0"/>
        <c:axPos val="l"/>
        <c:majorGridlines>
          <c:spPr>
            <a:ln w="9525" cap="flat" cmpd="sng" algn="ctr">
              <a:solidFill>
                <a:schemeClr val="dk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crossAx val="215498240"/>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'Peer Group '!$I$17</c:f>
              <c:strCache>
                <c:ptCount val="1"/>
                <c:pt idx="0">
                  <c:v>Ciclo de efectivo </c:v>
                </c:pt>
              </c:strCache>
            </c:strRef>
          </c:tx>
          <c:spPr>
            <a:solidFill>
              <a:schemeClr val="accent1">
                <a:alpha val="85000"/>
              </a:schemeClr>
            </a:solidFill>
            <a:ln w="9525" cap="flat" cmpd="sng" algn="ctr">
              <a:solidFill>
                <a:schemeClr val="accent1">
                  <a:lumMod val="75000"/>
                </a:schemeClr>
              </a:solidFill>
              <a:round/>
            </a:ln>
            <a:effectLst/>
            <a:sp3d contourW="9525">
              <a:contourClr>
                <a:schemeClr val="accent1">
                  <a:lumMod val="75000"/>
                </a:schemeClr>
              </a:contourClr>
            </a:sp3d>
          </c:spPr>
          <c:invertIfNegative val="0"/>
          <c:cat>
            <c:strRef>
              <c:f>'Peer Group '!$J$16:$L$16</c:f>
              <c:strCache>
                <c:ptCount val="3"/>
                <c:pt idx="0">
                  <c:v> Cavca</c:v>
                </c:pt>
                <c:pt idx="1">
                  <c:v>Gen Kieffer </c:v>
                </c:pt>
                <c:pt idx="2">
                  <c:v>SECTOR </c:v>
                </c:pt>
              </c:strCache>
            </c:strRef>
          </c:cat>
          <c:val>
            <c:numRef>
              <c:f>'Peer Group '!$J$17:$L$17</c:f>
              <c:numCache>
                <c:formatCode>#,##0.00</c:formatCode>
                <c:ptCount val="3"/>
                <c:pt idx="0">
                  <c:v>-17.314332587644152</c:v>
                </c:pt>
                <c:pt idx="1">
                  <c:v>1.238118355661368</c:v>
                </c:pt>
                <c:pt idx="2">
                  <c:v>-1.9139867607699843</c:v>
                </c:pt>
              </c:numCache>
            </c:numRef>
          </c:val>
          <c:extLst>
            <c:ext xmlns:c16="http://schemas.microsoft.com/office/drawing/2014/chart" uri="{C3380CC4-5D6E-409C-BE32-E72D297353CC}">
              <c16:uniqueId val="{00000000-D924-4E6A-827A-26BC54E9274C}"/>
            </c:ext>
          </c:extLst>
        </c:ser>
        <c:dLbls>
          <c:showLegendKey val="0"/>
          <c:showVal val="0"/>
          <c:showCatName val="0"/>
          <c:showSerName val="0"/>
          <c:showPercent val="0"/>
          <c:showBubbleSize val="0"/>
        </c:dLbls>
        <c:gapWidth val="65"/>
        <c:shape val="box"/>
        <c:axId val="218756608"/>
        <c:axId val="215364096"/>
        <c:axId val="0"/>
      </c:bar3DChart>
      <c:catAx>
        <c:axId val="218756608"/>
        <c:scaling>
          <c:orientation val="minMax"/>
        </c:scaling>
        <c:delete val="1"/>
        <c:axPos val="b"/>
        <c:numFmt formatCode="General" sourceLinked="1"/>
        <c:majorTickMark val="none"/>
        <c:minorTickMark val="none"/>
        <c:tickLblPos val="nextTo"/>
        <c:crossAx val="215364096"/>
        <c:crosses val="autoZero"/>
        <c:auto val="1"/>
        <c:lblAlgn val="ctr"/>
        <c:lblOffset val="100"/>
        <c:noMultiLvlLbl val="0"/>
      </c:catAx>
      <c:valAx>
        <c:axId val="215364096"/>
        <c:scaling>
          <c:orientation val="minMax"/>
        </c:scaling>
        <c:delete val="0"/>
        <c:axPos val="l"/>
        <c:majorGridlines>
          <c:spPr>
            <a:ln w="9525" cap="flat" cmpd="sng" algn="ctr">
              <a:solidFill>
                <a:schemeClr val="dk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crossAx val="218756608"/>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'Peer Group '!$I$19</c:f>
              <c:strCache>
                <c:ptCount val="1"/>
                <c:pt idx="0">
                  <c:v>Razón de endeudamiento </c:v>
                </c:pt>
              </c:strCache>
            </c:strRef>
          </c:tx>
          <c:spPr>
            <a:solidFill>
              <a:schemeClr val="accent1">
                <a:alpha val="85000"/>
              </a:schemeClr>
            </a:solidFill>
            <a:ln w="9525" cap="flat" cmpd="sng" algn="ctr">
              <a:solidFill>
                <a:schemeClr val="accent1">
                  <a:lumMod val="75000"/>
                </a:schemeClr>
              </a:solidFill>
              <a:round/>
            </a:ln>
            <a:effectLst/>
            <a:sp3d contourW="9525">
              <a:contourClr>
                <a:schemeClr val="accent1">
                  <a:lumMod val="75000"/>
                </a:schemeClr>
              </a:contourClr>
            </a:sp3d>
          </c:spPr>
          <c:invertIfNegative val="0"/>
          <c:cat>
            <c:strRef>
              <c:f>'Peer Group '!$J$18:$L$18</c:f>
              <c:strCache>
                <c:ptCount val="3"/>
                <c:pt idx="0">
                  <c:v> Cavca</c:v>
                </c:pt>
                <c:pt idx="1">
                  <c:v>Gen Kieffer </c:v>
                </c:pt>
                <c:pt idx="2">
                  <c:v>SECTOR </c:v>
                </c:pt>
              </c:strCache>
            </c:strRef>
          </c:cat>
          <c:val>
            <c:numRef>
              <c:f>'Peer Group '!$J$19:$L$19</c:f>
              <c:numCache>
                <c:formatCode>#,##0.00</c:formatCode>
                <c:ptCount val="3"/>
                <c:pt idx="0">
                  <c:v>1.2936893022304756</c:v>
                </c:pt>
                <c:pt idx="1">
                  <c:v>2.1757049451119888</c:v>
                </c:pt>
                <c:pt idx="2">
                  <c:v>1.8639033621471317</c:v>
                </c:pt>
              </c:numCache>
            </c:numRef>
          </c:val>
          <c:extLst>
            <c:ext xmlns:c16="http://schemas.microsoft.com/office/drawing/2014/chart" uri="{C3380CC4-5D6E-409C-BE32-E72D297353CC}">
              <c16:uniqueId val="{00000000-8D92-480D-863D-10774E3425B8}"/>
            </c:ext>
          </c:extLst>
        </c:ser>
        <c:dLbls>
          <c:showLegendKey val="0"/>
          <c:showVal val="0"/>
          <c:showCatName val="0"/>
          <c:showSerName val="0"/>
          <c:showPercent val="0"/>
          <c:showBubbleSize val="0"/>
        </c:dLbls>
        <c:gapWidth val="65"/>
        <c:shape val="box"/>
        <c:axId val="218758656"/>
        <c:axId val="215365824"/>
        <c:axId val="0"/>
      </c:bar3DChart>
      <c:catAx>
        <c:axId val="21875865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5365824"/>
        <c:crosses val="autoZero"/>
        <c:auto val="1"/>
        <c:lblAlgn val="ctr"/>
        <c:lblOffset val="100"/>
        <c:noMultiLvlLbl val="0"/>
      </c:catAx>
      <c:valAx>
        <c:axId val="215365824"/>
        <c:scaling>
          <c:orientation val="minMax"/>
        </c:scaling>
        <c:delete val="0"/>
        <c:axPos val="l"/>
        <c:majorGridlines>
          <c:spPr>
            <a:ln w="9525" cap="flat" cmpd="sng" algn="ctr">
              <a:solidFill>
                <a:schemeClr val="dk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crossAx val="218758656"/>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CO"/>
              <a:t>Rentabilidad</a:t>
            </a:r>
          </a:p>
        </c:rich>
      </c:tx>
      <c:overlay val="0"/>
      <c:spPr>
        <a:noFill/>
        <a:ln>
          <a:noFill/>
        </a:ln>
        <a:effectLst/>
      </c:sp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'Peer Group '!$J$20</c:f>
              <c:strCache>
                <c:ptCount val="1"/>
                <c:pt idx="0">
                  <c:v> Cavca</c:v>
                </c:pt>
              </c:strCache>
            </c:strRef>
          </c:tx>
          <c:spPr>
            <a:solidFill>
              <a:schemeClr val="accent1">
                <a:alpha val="85000"/>
              </a:schemeClr>
            </a:solidFill>
            <a:ln w="9525" cap="flat" cmpd="sng" algn="ctr">
              <a:solidFill>
                <a:schemeClr val="accent1">
                  <a:lumMod val="75000"/>
                </a:schemeClr>
              </a:solidFill>
              <a:round/>
            </a:ln>
            <a:effectLst/>
            <a:sp3d contourW="9525">
              <a:contourClr>
                <a:schemeClr val="accent1">
                  <a:lumMod val="75000"/>
                </a:schemeClr>
              </a:contourClr>
            </a:sp3d>
          </c:spPr>
          <c:invertIfNegative val="0"/>
          <c:cat>
            <c:strRef>
              <c:f>'Peer Group '!$I$21:$I$24</c:f>
              <c:strCache>
                <c:ptCount val="4"/>
                <c:pt idx="0">
                  <c:v>M.U.B.</c:v>
                </c:pt>
                <c:pt idx="1">
                  <c:v>Rent./vtas</c:v>
                </c:pt>
                <c:pt idx="2">
                  <c:v>ROA</c:v>
                </c:pt>
                <c:pt idx="3">
                  <c:v>ROE </c:v>
                </c:pt>
              </c:strCache>
            </c:strRef>
          </c:cat>
          <c:val>
            <c:numRef>
              <c:f>'Peer Group '!$J$21:$J$24</c:f>
              <c:numCache>
                <c:formatCode>0.00%</c:formatCode>
                <c:ptCount val="4"/>
                <c:pt idx="0">
                  <c:v>0.48230363923685149</c:v>
                </c:pt>
                <c:pt idx="1">
                  <c:v>6.86036332372921E-2</c:v>
                </c:pt>
                <c:pt idx="2">
                  <c:v>0.23841384180928429</c:v>
                </c:pt>
                <c:pt idx="3">
                  <c:v>0.54684727846162429</c:v>
                </c:pt>
              </c:numCache>
            </c:numRef>
          </c:val>
          <c:extLst>
            <c:ext xmlns:c16="http://schemas.microsoft.com/office/drawing/2014/chart" uri="{C3380CC4-5D6E-409C-BE32-E72D297353CC}">
              <c16:uniqueId val="{00000000-981E-4767-8824-D4D7907CF9F5}"/>
            </c:ext>
          </c:extLst>
        </c:ser>
        <c:ser>
          <c:idx val="1"/>
          <c:order val="1"/>
          <c:tx>
            <c:strRef>
              <c:f>'Peer Group '!$K$20</c:f>
              <c:strCache>
                <c:ptCount val="1"/>
                <c:pt idx="0">
                  <c:v>Gen Kieffer </c:v>
                </c:pt>
              </c:strCache>
            </c:strRef>
          </c:tx>
          <c:spPr>
            <a:solidFill>
              <a:schemeClr val="accent2">
                <a:alpha val="85000"/>
              </a:schemeClr>
            </a:solidFill>
            <a:ln w="9525" cap="flat" cmpd="sng" algn="ctr">
              <a:solidFill>
                <a:schemeClr val="accent2">
                  <a:lumMod val="75000"/>
                </a:schemeClr>
              </a:solidFill>
              <a:round/>
            </a:ln>
            <a:effectLst/>
            <a:sp3d contourW="9525">
              <a:contourClr>
                <a:schemeClr val="accent2">
                  <a:lumMod val="75000"/>
                </a:schemeClr>
              </a:contourClr>
            </a:sp3d>
          </c:spPr>
          <c:invertIfNegative val="0"/>
          <c:cat>
            <c:strRef>
              <c:f>'Peer Group '!$I$21:$I$24</c:f>
              <c:strCache>
                <c:ptCount val="4"/>
                <c:pt idx="0">
                  <c:v>M.U.B.</c:v>
                </c:pt>
                <c:pt idx="1">
                  <c:v>Rent./vtas</c:v>
                </c:pt>
                <c:pt idx="2">
                  <c:v>ROA</c:v>
                </c:pt>
                <c:pt idx="3">
                  <c:v>ROE </c:v>
                </c:pt>
              </c:strCache>
            </c:strRef>
          </c:cat>
          <c:val>
            <c:numRef>
              <c:f>'Peer Group '!$K$21:$K$24</c:f>
              <c:numCache>
                <c:formatCode>0.00%</c:formatCode>
                <c:ptCount val="4"/>
                <c:pt idx="0">
                  <c:v>0.23891393773563296</c:v>
                </c:pt>
                <c:pt idx="1">
                  <c:v>0.11913409124271336</c:v>
                </c:pt>
                <c:pt idx="2">
                  <c:v>0.11246519534606284</c:v>
                </c:pt>
                <c:pt idx="3">
                  <c:v>0.35715627701328451</c:v>
                </c:pt>
              </c:numCache>
            </c:numRef>
          </c:val>
          <c:extLst>
            <c:ext xmlns:c16="http://schemas.microsoft.com/office/drawing/2014/chart" uri="{C3380CC4-5D6E-409C-BE32-E72D297353CC}">
              <c16:uniqueId val="{00000001-981E-4767-8824-D4D7907CF9F5}"/>
            </c:ext>
          </c:extLst>
        </c:ser>
        <c:ser>
          <c:idx val="2"/>
          <c:order val="2"/>
          <c:tx>
            <c:strRef>
              <c:f>'Peer Group '!$L$20</c:f>
              <c:strCache>
                <c:ptCount val="1"/>
                <c:pt idx="0">
                  <c:v>SECTOR </c:v>
                </c:pt>
              </c:strCache>
            </c:strRef>
          </c:tx>
          <c:spPr>
            <a:solidFill>
              <a:schemeClr val="accent3">
                <a:alpha val="85000"/>
              </a:schemeClr>
            </a:solidFill>
            <a:ln w="9525" cap="flat" cmpd="sng" algn="ctr">
              <a:solidFill>
                <a:schemeClr val="accent3">
                  <a:lumMod val="75000"/>
                </a:schemeClr>
              </a:solidFill>
              <a:round/>
            </a:ln>
            <a:effectLst/>
            <a:sp3d contourW="9525">
              <a:contourClr>
                <a:schemeClr val="accent3">
                  <a:lumMod val="75000"/>
                </a:schemeClr>
              </a:contourClr>
            </a:sp3d>
          </c:spPr>
          <c:invertIfNegative val="0"/>
          <c:cat>
            <c:strRef>
              <c:f>'Peer Group '!$I$21:$I$24</c:f>
              <c:strCache>
                <c:ptCount val="4"/>
                <c:pt idx="0">
                  <c:v>M.U.B.</c:v>
                </c:pt>
                <c:pt idx="1">
                  <c:v>Rent./vtas</c:v>
                </c:pt>
                <c:pt idx="2">
                  <c:v>ROA</c:v>
                </c:pt>
                <c:pt idx="3">
                  <c:v>ROE </c:v>
                </c:pt>
              </c:strCache>
            </c:strRef>
          </c:cat>
          <c:val>
            <c:numRef>
              <c:f>'Peer Group '!$L$21:$L$24</c:f>
              <c:numCache>
                <c:formatCode>0.00%</c:formatCode>
                <c:ptCount val="4"/>
                <c:pt idx="0">
                  <c:v>0.10288674850424406</c:v>
                </c:pt>
                <c:pt idx="1">
                  <c:v>5.6655106944716004E-2</c:v>
                </c:pt>
                <c:pt idx="2">
                  <c:v>6.2227516276997845E-2</c:v>
                </c:pt>
                <c:pt idx="3">
                  <c:v>0.16493328435415686</c:v>
                </c:pt>
              </c:numCache>
            </c:numRef>
          </c:val>
          <c:extLst>
            <c:ext xmlns:c16="http://schemas.microsoft.com/office/drawing/2014/chart" uri="{C3380CC4-5D6E-409C-BE32-E72D297353CC}">
              <c16:uniqueId val="{00000002-981E-4767-8824-D4D7907CF9F5}"/>
            </c:ext>
          </c:extLst>
        </c:ser>
        <c:dLbls>
          <c:showLegendKey val="0"/>
          <c:showVal val="0"/>
          <c:showCatName val="0"/>
          <c:showSerName val="0"/>
          <c:showPercent val="0"/>
          <c:showBubbleSize val="0"/>
        </c:dLbls>
        <c:gapWidth val="65"/>
        <c:shape val="box"/>
        <c:axId val="218805248"/>
        <c:axId val="219275264"/>
        <c:axId val="0"/>
      </c:bar3DChart>
      <c:catAx>
        <c:axId val="21880524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9275264"/>
        <c:crosses val="autoZero"/>
        <c:auto val="1"/>
        <c:lblAlgn val="ctr"/>
        <c:lblOffset val="100"/>
        <c:noMultiLvlLbl val="0"/>
      </c:catAx>
      <c:valAx>
        <c:axId val="219275264"/>
        <c:scaling>
          <c:orientation val="minMax"/>
        </c:scaling>
        <c:delete val="0"/>
        <c:axPos val="l"/>
        <c:majorGridlines>
          <c:spPr>
            <a:ln w="9525" cap="flat" cmpd="sng" algn="ctr">
              <a:solidFill>
                <a:schemeClr val="dk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crossAx val="218805248"/>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'Peer Group '!$I$28</c:f>
              <c:strCache>
                <c:ptCount val="1"/>
                <c:pt idx="0">
                  <c:v>Razón corriente </c:v>
                </c:pt>
              </c:strCache>
            </c:strRef>
          </c:tx>
          <c:spPr>
            <a:solidFill>
              <a:schemeClr val="accent1">
                <a:alpha val="85000"/>
              </a:schemeClr>
            </a:solidFill>
            <a:ln w="9525" cap="flat" cmpd="sng" algn="ctr">
              <a:solidFill>
                <a:schemeClr val="accent1">
                  <a:lumMod val="75000"/>
                </a:schemeClr>
              </a:solidFill>
              <a:round/>
            </a:ln>
            <a:effectLst/>
            <a:sp3d contourW="9525">
              <a:contourClr>
                <a:schemeClr val="accent1">
                  <a:lumMod val="75000"/>
                </a:schemeClr>
              </a:contourClr>
            </a:sp3d>
          </c:spPr>
          <c:invertIfNegative val="0"/>
          <c:cat>
            <c:strRef>
              <c:f>'Peer Group '!$J$27:$L$27</c:f>
              <c:strCache>
                <c:ptCount val="3"/>
                <c:pt idx="0">
                  <c:v> Cavca</c:v>
                </c:pt>
                <c:pt idx="1">
                  <c:v>Universal Insure</c:v>
                </c:pt>
                <c:pt idx="2">
                  <c:v>SECTOR </c:v>
                </c:pt>
              </c:strCache>
            </c:strRef>
          </c:cat>
          <c:val>
            <c:numRef>
              <c:f>'Peer Group '!$J$28:$L$28</c:f>
              <c:numCache>
                <c:formatCode>#,##0.00</c:formatCode>
                <c:ptCount val="3"/>
                <c:pt idx="0">
                  <c:v>1.5668307785856241</c:v>
                </c:pt>
                <c:pt idx="1">
                  <c:v>1.3430827504047409</c:v>
                </c:pt>
                <c:pt idx="2">
                  <c:v>1.733282298747796</c:v>
                </c:pt>
              </c:numCache>
            </c:numRef>
          </c:val>
          <c:extLst>
            <c:ext xmlns:c16="http://schemas.microsoft.com/office/drawing/2014/chart" uri="{C3380CC4-5D6E-409C-BE32-E72D297353CC}">
              <c16:uniqueId val="{00000000-F57C-4002-A69B-3682E470E463}"/>
            </c:ext>
          </c:extLst>
        </c:ser>
        <c:dLbls>
          <c:showLegendKey val="0"/>
          <c:showVal val="0"/>
          <c:showCatName val="0"/>
          <c:showSerName val="0"/>
          <c:showPercent val="0"/>
          <c:showBubbleSize val="0"/>
        </c:dLbls>
        <c:gapWidth val="65"/>
        <c:shape val="box"/>
        <c:axId val="218806784"/>
        <c:axId val="219277568"/>
        <c:axId val="0"/>
      </c:bar3DChart>
      <c:catAx>
        <c:axId val="218806784"/>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9277568"/>
        <c:crosses val="autoZero"/>
        <c:auto val="1"/>
        <c:lblAlgn val="ctr"/>
        <c:lblOffset val="100"/>
        <c:noMultiLvlLbl val="0"/>
      </c:catAx>
      <c:valAx>
        <c:axId val="219277568"/>
        <c:scaling>
          <c:orientation val="minMax"/>
        </c:scaling>
        <c:delete val="0"/>
        <c:axPos val="l"/>
        <c:majorGridlines>
          <c:spPr>
            <a:ln w="9525" cap="flat" cmpd="sng" algn="ctr">
              <a:solidFill>
                <a:schemeClr val="dk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crossAx val="218806784"/>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5158836395450568"/>
          <c:y val="0.13467592592592595"/>
          <c:w val="0.69841163604549428"/>
          <c:h val="0.70235382035578875"/>
        </c:manualLayout>
      </c:layout>
      <c:bar3DChart>
        <c:barDir val="col"/>
        <c:grouping val="clustered"/>
        <c:varyColors val="0"/>
        <c:ser>
          <c:idx val="0"/>
          <c:order val="0"/>
          <c:tx>
            <c:strRef>
              <c:f>Gráficas!$B$3</c:f>
              <c:strCache>
                <c:ptCount val="1"/>
                <c:pt idx="0">
                  <c:v>Razón Corriente</c:v>
                </c:pt>
              </c:strCache>
            </c:strRef>
          </c:tx>
          <c:spPr>
            <a:solidFill>
              <a:schemeClr val="accent1">
                <a:shade val="76000"/>
                <a:alpha val="85000"/>
              </a:schemeClr>
            </a:solidFill>
            <a:ln w="9525" cap="flat" cmpd="sng" algn="ctr">
              <a:solidFill>
                <a:schemeClr val="accent1">
                  <a:shade val="76000"/>
                  <a:lumMod val="75000"/>
                </a:schemeClr>
              </a:solidFill>
              <a:round/>
            </a:ln>
            <a:effectLst/>
            <a:sp3d contourW="9525">
              <a:contourClr>
                <a:schemeClr val="accent1">
                  <a:shade val="76000"/>
                  <a:lumMod val="75000"/>
                </a:schemeClr>
              </a:contourClr>
            </a:sp3d>
          </c:spPr>
          <c:invertIfNegative val="0"/>
          <c:cat>
            <c:numRef>
              <c:f>Gráficas!$F$2:$H$2</c:f>
              <c:numCache>
                <c:formatCode>General</c:formatCode>
                <c:ptCount val="3"/>
                <c:pt idx="0">
                  <c:v>2018</c:v>
                </c:pt>
                <c:pt idx="1">
                  <c:v>2019</c:v>
                </c:pt>
                <c:pt idx="2">
                  <c:v>2020</c:v>
                </c:pt>
              </c:numCache>
            </c:numRef>
          </c:cat>
          <c:val>
            <c:numRef>
              <c:f>Gráficas!$F$3:$H$3</c:f>
              <c:numCache>
                <c:formatCode>0.00</c:formatCode>
                <c:ptCount val="3"/>
                <c:pt idx="0">
                  <c:v>1.1505396398558925</c:v>
                </c:pt>
                <c:pt idx="1">
                  <c:v>1.329184330347682</c:v>
                </c:pt>
                <c:pt idx="2">
                  <c:v>1.5668307785856241</c:v>
                </c:pt>
              </c:numCache>
            </c:numRef>
          </c:val>
          <c:extLst>
            <c:ext xmlns:c16="http://schemas.microsoft.com/office/drawing/2014/chart" uri="{C3380CC4-5D6E-409C-BE32-E72D297353CC}">
              <c16:uniqueId val="{00000000-8816-4E82-B52A-76BA07CC4520}"/>
            </c:ext>
          </c:extLst>
        </c:ser>
        <c:dLbls>
          <c:showLegendKey val="0"/>
          <c:showVal val="0"/>
          <c:showCatName val="0"/>
          <c:showSerName val="0"/>
          <c:showPercent val="0"/>
          <c:showBubbleSize val="0"/>
        </c:dLbls>
        <c:gapWidth val="65"/>
        <c:shape val="box"/>
        <c:axId val="130701824"/>
        <c:axId val="215230720"/>
        <c:axId val="0"/>
        <c:extLst>
          <c:ext xmlns:c15="http://schemas.microsoft.com/office/drawing/2012/chart" uri="{02D57815-91ED-43cb-92C2-25804820EDAC}">
            <c15:filteredBarSeries>
              <c15:ser>
                <c:idx val="1"/>
                <c:order val="1"/>
                <c:tx>
                  <c:strRef>
                    <c:extLst>
                      <c:ext uri="{02D57815-91ED-43cb-92C2-25804820EDAC}">
                        <c15:formulaRef>
                          <c15:sqref>Gráficas!$B$4</c15:sqref>
                        </c15:formulaRef>
                      </c:ext>
                    </c:extLst>
                    <c:strCache>
                      <c:ptCount val="1"/>
                    </c:strCache>
                  </c:strRef>
                </c:tx>
                <c:spPr>
                  <a:solidFill>
                    <a:schemeClr val="accent1">
                      <a:tint val="77000"/>
                      <a:alpha val="85000"/>
                    </a:schemeClr>
                  </a:solidFill>
                  <a:ln w="9525" cap="flat" cmpd="sng" algn="ctr">
                    <a:solidFill>
                      <a:schemeClr val="accent1">
                        <a:tint val="77000"/>
                        <a:lumMod val="75000"/>
                      </a:schemeClr>
                    </a:solidFill>
                    <a:round/>
                  </a:ln>
                  <a:effectLst/>
                  <a:sp3d contourW="9525">
                    <a:contourClr>
                      <a:schemeClr val="accent1">
                        <a:tint val="77000"/>
                        <a:lumMod val="75000"/>
                      </a:schemeClr>
                    </a:contourClr>
                  </a:sp3d>
                </c:spPr>
                <c:invertIfNegative val="0"/>
                <c:cat>
                  <c:numRef>
                    <c:extLst>
                      <c:ext uri="{02D57815-91ED-43cb-92C2-25804820EDAC}">
                        <c15:formulaRef>
                          <c15:sqref>Gráficas!$F$2:$H$2</c15:sqref>
                        </c15:formulaRef>
                      </c:ext>
                    </c:extLst>
                    <c:numCache>
                      <c:formatCode>General</c:formatCode>
                      <c:ptCount val="3"/>
                      <c:pt idx="0">
                        <c:v>2018</c:v>
                      </c:pt>
                      <c:pt idx="1">
                        <c:v>2019</c:v>
                      </c:pt>
                      <c:pt idx="2">
                        <c:v>2020</c:v>
                      </c:pt>
                    </c:numCache>
                  </c:numRef>
                </c:cat>
                <c:val>
                  <c:numRef>
                    <c:extLst>
                      <c:ext uri="{02D57815-91ED-43cb-92C2-25804820EDAC}">
                        <c15:formulaRef>
                          <c15:sqref>Gráficas!$F$4:$H$4</c15:sqref>
                        </c15:formulaRef>
                      </c:ext>
                    </c:extLst>
                    <c:numCache>
                      <c:formatCode>0.00</c:formatCode>
                      <c:ptCount val="3"/>
                    </c:numCache>
                  </c:numRef>
                </c:val>
                <c:extLst>
                  <c:ext xmlns:c16="http://schemas.microsoft.com/office/drawing/2014/chart" uri="{C3380CC4-5D6E-409C-BE32-E72D297353CC}">
                    <c16:uniqueId val="{00000002-8816-4E82-B52A-76BA07CC4520}"/>
                  </c:ext>
                </c:extLst>
              </c15:ser>
            </c15:filteredBarSeries>
          </c:ext>
        </c:extLst>
      </c:bar3DChart>
      <c:catAx>
        <c:axId val="130701824"/>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5230720"/>
        <c:crosses val="autoZero"/>
        <c:auto val="1"/>
        <c:lblAlgn val="ctr"/>
        <c:lblOffset val="100"/>
        <c:noMultiLvlLbl val="0"/>
      </c:catAx>
      <c:valAx>
        <c:axId val="215230720"/>
        <c:scaling>
          <c:orientation val="minMax"/>
        </c:scaling>
        <c:delete val="0"/>
        <c:axPos val="l"/>
        <c:majorGridlines>
          <c:spPr>
            <a:ln w="9525" cap="flat" cmpd="sng" algn="ctr">
              <a:solidFill>
                <a:schemeClr val="dk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crossAx val="130701824"/>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'Peer Group '!$I$30</c:f>
              <c:strCache>
                <c:ptCount val="1"/>
                <c:pt idx="0">
                  <c:v>Ciclo de efectivo </c:v>
                </c:pt>
              </c:strCache>
            </c:strRef>
          </c:tx>
          <c:spPr>
            <a:solidFill>
              <a:schemeClr val="accent1">
                <a:alpha val="85000"/>
              </a:schemeClr>
            </a:solidFill>
            <a:ln w="9525" cap="flat" cmpd="sng" algn="ctr">
              <a:solidFill>
                <a:schemeClr val="accent1">
                  <a:lumMod val="75000"/>
                </a:schemeClr>
              </a:solidFill>
              <a:round/>
            </a:ln>
            <a:effectLst/>
            <a:sp3d contourW="9525">
              <a:contourClr>
                <a:schemeClr val="accent1">
                  <a:lumMod val="75000"/>
                </a:schemeClr>
              </a:contourClr>
            </a:sp3d>
          </c:spPr>
          <c:invertIfNegative val="0"/>
          <c:cat>
            <c:strRef>
              <c:f>'Peer Group '!$J$29:$L$29</c:f>
              <c:strCache>
                <c:ptCount val="3"/>
                <c:pt idx="0">
                  <c:v> Cavca</c:v>
                </c:pt>
                <c:pt idx="1">
                  <c:v>Universal Insure</c:v>
                </c:pt>
                <c:pt idx="2">
                  <c:v>SECTOR </c:v>
                </c:pt>
              </c:strCache>
            </c:strRef>
          </c:cat>
          <c:val>
            <c:numRef>
              <c:f>'Peer Group '!$J$30:$L$30</c:f>
              <c:numCache>
                <c:formatCode>#,##0.00</c:formatCode>
                <c:ptCount val="3"/>
                <c:pt idx="0">
                  <c:v>-17.314332587644152</c:v>
                </c:pt>
                <c:pt idx="1">
                  <c:v>0</c:v>
                </c:pt>
                <c:pt idx="2">
                  <c:v>-1.9139867607699843</c:v>
                </c:pt>
              </c:numCache>
            </c:numRef>
          </c:val>
          <c:extLst>
            <c:ext xmlns:c16="http://schemas.microsoft.com/office/drawing/2014/chart" uri="{C3380CC4-5D6E-409C-BE32-E72D297353CC}">
              <c16:uniqueId val="{00000000-FE0F-441C-AABD-7875D3561615}"/>
            </c:ext>
          </c:extLst>
        </c:ser>
        <c:dLbls>
          <c:showLegendKey val="0"/>
          <c:showVal val="0"/>
          <c:showCatName val="0"/>
          <c:showSerName val="0"/>
          <c:showPercent val="0"/>
          <c:showBubbleSize val="0"/>
        </c:dLbls>
        <c:gapWidth val="65"/>
        <c:shape val="box"/>
        <c:axId val="219873280"/>
        <c:axId val="219279296"/>
        <c:axId val="0"/>
      </c:bar3DChart>
      <c:catAx>
        <c:axId val="219873280"/>
        <c:scaling>
          <c:orientation val="minMax"/>
        </c:scaling>
        <c:delete val="1"/>
        <c:axPos val="b"/>
        <c:numFmt formatCode="General" sourceLinked="1"/>
        <c:majorTickMark val="none"/>
        <c:minorTickMark val="none"/>
        <c:tickLblPos val="nextTo"/>
        <c:crossAx val="219279296"/>
        <c:crosses val="autoZero"/>
        <c:auto val="1"/>
        <c:lblAlgn val="ctr"/>
        <c:lblOffset val="100"/>
        <c:noMultiLvlLbl val="0"/>
      </c:catAx>
      <c:valAx>
        <c:axId val="219279296"/>
        <c:scaling>
          <c:orientation val="minMax"/>
        </c:scaling>
        <c:delete val="0"/>
        <c:axPos val="l"/>
        <c:majorGridlines>
          <c:spPr>
            <a:ln w="9525" cap="flat" cmpd="sng" algn="ctr">
              <a:solidFill>
                <a:schemeClr val="dk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crossAx val="219873280"/>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'Peer Group '!$I$32</c:f>
              <c:strCache>
                <c:ptCount val="1"/>
                <c:pt idx="0">
                  <c:v>Razón de endeudamiento </c:v>
                </c:pt>
              </c:strCache>
            </c:strRef>
          </c:tx>
          <c:spPr>
            <a:solidFill>
              <a:schemeClr val="accent1">
                <a:alpha val="85000"/>
              </a:schemeClr>
            </a:solidFill>
            <a:ln w="9525" cap="flat" cmpd="sng" algn="ctr">
              <a:solidFill>
                <a:schemeClr val="accent1">
                  <a:lumMod val="75000"/>
                </a:schemeClr>
              </a:solidFill>
              <a:round/>
            </a:ln>
            <a:effectLst/>
            <a:sp3d contourW="9525">
              <a:contourClr>
                <a:schemeClr val="accent1">
                  <a:lumMod val="75000"/>
                </a:schemeClr>
              </a:contourClr>
            </a:sp3d>
          </c:spPr>
          <c:invertIfNegative val="0"/>
          <c:cat>
            <c:strRef>
              <c:f>'Peer Group '!$J$31:$L$31</c:f>
              <c:strCache>
                <c:ptCount val="3"/>
                <c:pt idx="0">
                  <c:v> Cavca</c:v>
                </c:pt>
                <c:pt idx="1">
                  <c:v>Universal Insure</c:v>
                </c:pt>
                <c:pt idx="2">
                  <c:v>SECTOR </c:v>
                </c:pt>
              </c:strCache>
            </c:strRef>
          </c:cat>
          <c:val>
            <c:numRef>
              <c:f>'Peer Group '!$J$32:$L$32</c:f>
              <c:numCache>
                <c:formatCode>#,##0.00</c:formatCode>
                <c:ptCount val="3"/>
                <c:pt idx="0">
                  <c:v>1.2936893022304756</c:v>
                </c:pt>
                <c:pt idx="1">
                  <c:v>2.9147486978587009</c:v>
                </c:pt>
                <c:pt idx="2">
                  <c:v>1.8639033621471317</c:v>
                </c:pt>
              </c:numCache>
            </c:numRef>
          </c:val>
          <c:extLst>
            <c:ext xmlns:c16="http://schemas.microsoft.com/office/drawing/2014/chart" uri="{C3380CC4-5D6E-409C-BE32-E72D297353CC}">
              <c16:uniqueId val="{00000000-E347-477A-8D40-FD23BD220370}"/>
            </c:ext>
          </c:extLst>
        </c:ser>
        <c:dLbls>
          <c:showLegendKey val="0"/>
          <c:showVal val="0"/>
          <c:showCatName val="0"/>
          <c:showSerName val="0"/>
          <c:showPercent val="0"/>
          <c:showBubbleSize val="0"/>
        </c:dLbls>
        <c:gapWidth val="65"/>
        <c:shape val="box"/>
        <c:axId val="219875328"/>
        <c:axId val="219281024"/>
        <c:axId val="0"/>
      </c:bar3DChart>
      <c:catAx>
        <c:axId val="21987532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9281024"/>
        <c:crosses val="autoZero"/>
        <c:auto val="1"/>
        <c:lblAlgn val="ctr"/>
        <c:lblOffset val="100"/>
        <c:noMultiLvlLbl val="0"/>
      </c:catAx>
      <c:valAx>
        <c:axId val="219281024"/>
        <c:scaling>
          <c:orientation val="minMax"/>
        </c:scaling>
        <c:delete val="0"/>
        <c:axPos val="l"/>
        <c:majorGridlines>
          <c:spPr>
            <a:ln w="9525" cap="flat" cmpd="sng" algn="ctr">
              <a:solidFill>
                <a:schemeClr val="dk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crossAx val="219875328"/>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CO"/>
              <a:t>Rentabilidad</a:t>
            </a:r>
          </a:p>
        </c:rich>
      </c:tx>
      <c:overlay val="0"/>
      <c:spPr>
        <a:noFill/>
        <a:ln>
          <a:noFill/>
        </a:ln>
        <a:effectLst/>
      </c:sp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'Peer Group '!$J$33</c:f>
              <c:strCache>
                <c:ptCount val="1"/>
                <c:pt idx="0">
                  <c:v> Cavca</c:v>
                </c:pt>
              </c:strCache>
            </c:strRef>
          </c:tx>
          <c:spPr>
            <a:solidFill>
              <a:schemeClr val="accent1">
                <a:alpha val="85000"/>
              </a:schemeClr>
            </a:solidFill>
            <a:ln w="9525" cap="flat" cmpd="sng" algn="ctr">
              <a:solidFill>
                <a:schemeClr val="accent1">
                  <a:lumMod val="75000"/>
                </a:schemeClr>
              </a:solidFill>
              <a:round/>
            </a:ln>
            <a:effectLst/>
            <a:sp3d contourW="9525">
              <a:contourClr>
                <a:schemeClr val="accent1">
                  <a:lumMod val="75000"/>
                </a:schemeClr>
              </a:contourClr>
            </a:sp3d>
          </c:spPr>
          <c:invertIfNegative val="0"/>
          <c:cat>
            <c:strRef>
              <c:f>'Peer Group '!$I$34:$I$37</c:f>
              <c:strCache>
                <c:ptCount val="4"/>
                <c:pt idx="0">
                  <c:v>M.U.B.</c:v>
                </c:pt>
                <c:pt idx="1">
                  <c:v>Rent./vtas</c:v>
                </c:pt>
                <c:pt idx="2">
                  <c:v>ROA</c:v>
                </c:pt>
                <c:pt idx="3">
                  <c:v>ROE </c:v>
                </c:pt>
              </c:strCache>
            </c:strRef>
          </c:cat>
          <c:val>
            <c:numRef>
              <c:f>'Peer Group '!$J$34:$J$37</c:f>
              <c:numCache>
                <c:formatCode>0.00%</c:formatCode>
                <c:ptCount val="4"/>
                <c:pt idx="0">
                  <c:v>0.48230363923685149</c:v>
                </c:pt>
                <c:pt idx="1">
                  <c:v>6.86036332372921E-2</c:v>
                </c:pt>
                <c:pt idx="2">
                  <c:v>0.23841384180928429</c:v>
                </c:pt>
                <c:pt idx="3">
                  <c:v>0.54684727846162429</c:v>
                </c:pt>
              </c:numCache>
            </c:numRef>
          </c:val>
          <c:extLst>
            <c:ext xmlns:c16="http://schemas.microsoft.com/office/drawing/2014/chart" uri="{C3380CC4-5D6E-409C-BE32-E72D297353CC}">
              <c16:uniqueId val="{00000000-A7C5-4328-BBFB-3FFEE69BF16A}"/>
            </c:ext>
          </c:extLst>
        </c:ser>
        <c:ser>
          <c:idx val="1"/>
          <c:order val="1"/>
          <c:tx>
            <c:strRef>
              <c:f>'Peer Group '!$K$33</c:f>
              <c:strCache>
                <c:ptCount val="1"/>
                <c:pt idx="0">
                  <c:v>Universal Insure</c:v>
                </c:pt>
              </c:strCache>
            </c:strRef>
          </c:tx>
          <c:spPr>
            <a:solidFill>
              <a:schemeClr val="accent2">
                <a:alpha val="85000"/>
              </a:schemeClr>
            </a:solidFill>
            <a:ln w="9525" cap="flat" cmpd="sng" algn="ctr">
              <a:solidFill>
                <a:schemeClr val="accent2">
                  <a:lumMod val="75000"/>
                </a:schemeClr>
              </a:solidFill>
              <a:round/>
            </a:ln>
            <a:effectLst/>
            <a:sp3d contourW="9525">
              <a:contourClr>
                <a:schemeClr val="accent2">
                  <a:lumMod val="75000"/>
                </a:schemeClr>
              </a:contourClr>
            </a:sp3d>
          </c:spPr>
          <c:invertIfNegative val="0"/>
          <c:cat>
            <c:strRef>
              <c:f>'Peer Group '!$I$34:$I$37</c:f>
              <c:strCache>
                <c:ptCount val="4"/>
                <c:pt idx="0">
                  <c:v>M.U.B.</c:v>
                </c:pt>
                <c:pt idx="1">
                  <c:v>Rent./vtas</c:v>
                </c:pt>
                <c:pt idx="2">
                  <c:v>ROA</c:v>
                </c:pt>
                <c:pt idx="3">
                  <c:v>ROE </c:v>
                </c:pt>
              </c:strCache>
            </c:strRef>
          </c:cat>
          <c:val>
            <c:numRef>
              <c:f>'Peer Group '!$K$34:$K$37</c:f>
              <c:numCache>
                <c:formatCode>0.00%</c:formatCode>
                <c:ptCount val="4"/>
                <c:pt idx="0">
                  <c:v>2.2586388508254333E-2</c:v>
                </c:pt>
                <c:pt idx="1">
                  <c:v>1.7813697251041694E-2</c:v>
                </c:pt>
                <c:pt idx="2">
                  <c:v>1.0865733422791317E-2</c:v>
                </c:pt>
                <c:pt idx="3">
                  <c:v>4.253661576815207E-2</c:v>
                </c:pt>
              </c:numCache>
            </c:numRef>
          </c:val>
          <c:extLst>
            <c:ext xmlns:c16="http://schemas.microsoft.com/office/drawing/2014/chart" uri="{C3380CC4-5D6E-409C-BE32-E72D297353CC}">
              <c16:uniqueId val="{00000001-A7C5-4328-BBFB-3FFEE69BF16A}"/>
            </c:ext>
          </c:extLst>
        </c:ser>
        <c:ser>
          <c:idx val="2"/>
          <c:order val="2"/>
          <c:tx>
            <c:strRef>
              <c:f>'Peer Group '!$L$33</c:f>
              <c:strCache>
                <c:ptCount val="1"/>
                <c:pt idx="0">
                  <c:v>SECTOR </c:v>
                </c:pt>
              </c:strCache>
            </c:strRef>
          </c:tx>
          <c:spPr>
            <a:solidFill>
              <a:schemeClr val="accent3">
                <a:alpha val="85000"/>
              </a:schemeClr>
            </a:solidFill>
            <a:ln w="9525" cap="flat" cmpd="sng" algn="ctr">
              <a:solidFill>
                <a:schemeClr val="accent3">
                  <a:lumMod val="75000"/>
                </a:schemeClr>
              </a:solidFill>
              <a:round/>
            </a:ln>
            <a:effectLst/>
            <a:sp3d contourW="9525">
              <a:contourClr>
                <a:schemeClr val="accent3">
                  <a:lumMod val="75000"/>
                </a:schemeClr>
              </a:contourClr>
            </a:sp3d>
          </c:spPr>
          <c:invertIfNegative val="0"/>
          <c:cat>
            <c:strRef>
              <c:f>'Peer Group '!$I$34:$I$37</c:f>
              <c:strCache>
                <c:ptCount val="4"/>
                <c:pt idx="0">
                  <c:v>M.U.B.</c:v>
                </c:pt>
                <c:pt idx="1">
                  <c:v>Rent./vtas</c:v>
                </c:pt>
                <c:pt idx="2">
                  <c:v>ROA</c:v>
                </c:pt>
                <c:pt idx="3">
                  <c:v>ROE </c:v>
                </c:pt>
              </c:strCache>
            </c:strRef>
          </c:cat>
          <c:val>
            <c:numRef>
              <c:f>'Peer Group '!$L$34:$L$37</c:f>
              <c:numCache>
                <c:formatCode>0.00%</c:formatCode>
                <c:ptCount val="4"/>
                <c:pt idx="0">
                  <c:v>0.10288674850424406</c:v>
                </c:pt>
                <c:pt idx="1">
                  <c:v>5.6655106944716004E-2</c:v>
                </c:pt>
                <c:pt idx="2">
                  <c:v>6.2227516276997845E-2</c:v>
                </c:pt>
                <c:pt idx="3">
                  <c:v>0.16493328435415686</c:v>
                </c:pt>
              </c:numCache>
            </c:numRef>
          </c:val>
          <c:extLst>
            <c:ext xmlns:c16="http://schemas.microsoft.com/office/drawing/2014/chart" uri="{C3380CC4-5D6E-409C-BE32-E72D297353CC}">
              <c16:uniqueId val="{00000002-A7C5-4328-BBFB-3FFEE69BF16A}"/>
            </c:ext>
          </c:extLst>
        </c:ser>
        <c:dLbls>
          <c:showLegendKey val="0"/>
          <c:showVal val="0"/>
          <c:showCatName val="0"/>
          <c:showSerName val="0"/>
          <c:showPercent val="0"/>
          <c:showBubbleSize val="0"/>
        </c:dLbls>
        <c:gapWidth val="65"/>
        <c:shape val="box"/>
        <c:axId val="219615744"/>
        <c:axId val="219282752"/>
        <c:axId val="0"/>
      </c:bar3DChart>
      <c:catAx>
        <c:axId val="219615744"/>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9282752"/>
        <c:crosses val="autoZero"/>
        <c:auto val="1"/>
        <c:lblAlgn val="ctr"/>
        <c:lblOffset val="100"/>
        <c:noMultiLvlLbl val="0"/>
      </c:catAx>
      <c:valAx>
        <c:axId val="219282752"/>
        <c:scaling>
          <c:orientation val="minMax"/>
        </c:scaling>
        <c:delete val="0"/>
        <c:axPos val="l"/>
        <c:majorGridlines>
          <c:spPr>
            <a:ln w="9525" cap="flat" cmpd="sng" algn="ctr">
              <a:solidFill>
                <a:schemeClr val="dk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crossAx val="219615744"/>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Gráficas!$B$6</c:f>
              <c:strCache>
                <c:ptCount val="1"/>
                <c:pt idx="0">
                  <c:v>Rot. Activo Corriente</c:v>
                </c:pt>
              </c:strCache>
            </c:strRef>
          </c:tx>
          <c:spPr>
            <a:solidFill>
              <a:schemeClr val="accent1">
                <a:shade val="76000"/>
                <a:alpha val="85000"/>
              </a:schemeClr>
            </a:solidFill>
            <a:ln w="9525" cap="flat" cmpd="sng" algn="ctr">
              <a:solidFill>
                <a:schemeClr val="accent1">
                  <a:shade val="76000"/>
                  <a:lumMod val="75000"/>
                </a:schemeClr>
              </a:solidFill>
              <a:round/>
            </a:ln>
            <a:effectLst/>
            <a:sp3d contourW="9525">
              <a:contourClr>
                <a:schemeClr val="accent1">
                  <a:shade val="76000"/>
                  <a:lumMod val="75000"/>
                </a:schemeClr>
              </a:contourClr>
            </a:sp3d>
          </c:spPr>
          <c:invertIfNegative val="0"/>
          <c:cat>
            <c:numRef>
              <c:f>Gráficas!$F$5:$H$5</c:f>
              <c:numCache>
                <c:formatCode>General</c:formatCode>
                <c:ptCount val="3"/>
                <c:pt idx="0">
                  <c:v>2018</c:v>
                </c:pt>
                <c:pt idx="1">
                  <c:v>2019</c:v>
                </c:pt>
                <c:pt idx="2">
                  <c:v>2020</c:v>
                </c:pt>
              </c:numCache>
            </c:numRef>
          </c:cat>
          <c:val>
            <c:numRef>
              <c:f>Gráficas!$F$6:$H$6</c:f>
              <c:numCache>
                <c:formatCode>0.00</c:formatCode>
                <c:ptCount val="3"/>
                <c:pt idx="0">
                  <c:v>2.7992360955706963</c:v>
                </c:pt>
                <c:pt idx="1">
                  <c:v>4.2528952321445432</c:v>
                </c:pt>
                <c:pt idx="2">
                  <c:v>4.2082062579570021</c:v>
                </c:pt>
              </c:numCache>
            </c:numRef>
          </c:val>
          <c:extLst>
            <c:ext xmlns:c16="http://schemas.microsoft.com/office/drawing/2014/chart" uri="{C3380CC4-5D6E-409C-BE32-E72D297353CC}">
              <c16:uniqueId val="{00000000-C07B-4EAD-95D6-8830D99A3A83}"/>
            </c:ext>
          </c:extLst>
        </c:ser>
        <c:dLbls>
          <c:showLegendKey val="0"/>
          <c:showVal val="0"/>
          <c:showCatName val="0"/>
          <c:showSerName val="0"/>
          <c:showPercent val="0"/>
          <c:showBubbleSize val="0"/>
        </c:dLbls>
        <c:gapWidth val="65"/>
        <c:shape val="box"/>
        <c:axId val="130507264"/>
        <c:axId val="215233024"/>
        <c:axId val="0"/>
        <c:extLst>
          <c:ext xmlns:c15="http://schemas.microsoft.com/office/drawing/2012/chart" uri="{02D57815-91ED-43cb-92C2-25804820EDAC}">
            <c15:filteredBarSeries>
              <c15:ser>
                <c:idx val="1"/>
                <c:order val="1"/>
                <c:tx>
                  <c:strRef>
                    <c:extLst>
                      <c:ext uri="{02D57815-91ED-43cb-92C2-25804820EDAC}">
                        <c15:formulaRef>
                          <c15:sqref>Gráficas!$B$7</c15:sqref>
                        </c15:formulaRef>
                      </c:ext>
                    </c:extLst>
                    <c:strCache>
                      <c:ptCount val="1"/>
                    </c:strCache>
                  </c:strRef>
                </c:tx>
                <c:spPr>
                  <a:solidFill>
                    <a:schemeClr val="accent1">
                      <a:tint val="77000"/>
                      <a:alpha val="85000"/>
                    </a:schemeClr>
                  </a:solidFill>
                  <a:ln w="9525" cap="flat" cmpd="sng" algn="ctr">
                    <a:solidFill>
                      <a:schemeClr val="accent1">
                        <a:tint val="77000"/>
                        <a:lumMod val="75000"/>
                      </a:schemeClr>
                    </a:solidFill>
                    <a:round/>
                  </a:ln>
                  <a:effectLst/>
                  <a:sp3d contourW="9525">
                    <a:contourClr>
                      <a:schemeClr val="accent1">
                        <a:tint val="77000"/>
                        <a:lumMod val="75000"/>
                      </a:schemeClr>
                    </a:contourClr>
                  </a:sp3d>
                </c:spPr>
                <c:invertIfNegative val="0"/>
                <c:cat>
                  <c:numRef>
                    <c:extLst>
                      <c:ext uri="{02D57815-91ED-43cb-92C2-25804820EDAC}">
                        <c15:formulaRef>
                          <c15:sqref>Gráficas!$F$5:$H$5</c15:sqref>
                        </c15:formulaRef>
                      </c:ext>
                    </c:extLst>
                    <c:numCache>
                      <c:formatCode>General</c:formatCode>
                      <c:ptCount val="3"/>
                      <c:pt idx="0">
                        <c:v>2018</c:v>
                      </c:pt>
                      <c:pt idx="1">
                        <c:v>2019</c:v>
                      </c:pt>
                      <c:pt idx="2">
                        <c:v>2020</c:v>
                      </c:pt>
                    </c:numCache>
                  </c:numRef>
                </c:cat>
                <c:val>
                  <c:numRef>
                    <c:extLst>
                      <c:ext uri="{02D57815-91ED-43cb-92C2-25804820EDAC}">
                        <c15:formulaRef>
                          <c15:sqref>Gráficas!$F$7:$H$7</c15:sqref>
                        </c15:formulaRef>
                      </c:ext>
                    </c:extLst>
                    <c:numCache>
                      <c:formatCode>0.00</c:formatCode>
                      <c:ptCount val="3"/>
                    </c:numCache>
                  </c:numRef>
                </c:val>
                <c:extLst>
                  <c:ext xmlns:c16="http://schemas.microsoft.com/office/drawing/2014/chart" uri="{C3380CC4-5D6E-409C-BE32-E72D297353CC}">
                    <c16:uniqueId val="{00000001-C07B-4EAD-95D6-8830D99A3A83}"/>
                  </c:ext>
                </c:extLst>
              </c15:ser>
            </c15:filteredBarSeries>
          </c:ext>
        </c:extLst>
      </c:bar3DChart>
      <c:catAx>
        <c:axId val="130507264"/>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5233024"/>
        <c:crosses val="autoZero"/>
        <c:auto val="1"/>
        <c:lblAlgn val="ctr"/>
        <c:lblOffset val="100"/>
        <c:noMultiLvlLbl val="0"/>
      </c:catAx>
      <c:valAx>
        <c:axId val="215233024"/>
        <c:scaling>
          <c:orientation val="minMax"/>
        </c:scaling>
        <c:delete val="0"/>
        <c:axPos val="l"/>
        <c:majorGridlines>
          <c:spPr>
            <a:ln w="9525" cap="flat" cmpd="sng" algn="ctr">
              <a:solidFill>
                <a:schemeClr val="dk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crossAx val="130507264"/>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Gráficas!$B$9</c:f>
              <c:strCache>
                <c:ptCount val="1"/>
                <c:pt idx="0">
                  <c:v>Rot. Activo No corriente</c:v>
                </c:pt>
              </c:strCache>
            </c:strRef>
          </c:tx>
          <c:spPr>
            <a:solidFill>
              <a:schemeClr val="accent1">
                <a:shade val="76000"/>
                <a:alpha val="85000"/>
              </a:schemeClr>
            </a:solidFill>
            <a:ln w="9525" cap="flat" cmpd="sng" algn="ctr">
              <a:solidFill>
                <a:schemeClr val="accent1">
                  <a:shade val="76000"/>
                  <a:lumMod val="75000"/>
                </a:schemeClr>
              </a:solidFill>
              <a:round/>
            </a:ln>
            <a:effectLst/>
            <a:sp3d contourW="9525">
              <a:contourClr>
                <a:schemeClr val="accent1">
                  <a:shade val="76000"/>
                  <a:lumMod val="75000"/>
                </a:schemeClr>
              </a:contourClr>
            </a:sp3d>
          </c:spPr>
          <c:invertIfNegative val="0"/>
          <c:cat>
            <c:numRef>
              <c:f>Gráficas!$F$8:$H$8</c:f>
              <c:numCache>
                <c:formatCode>General</c:formatCode>
                <c:ptCount val="3"/>
                <c:pt idx="0">
                  <c:v>2018</c:v>
                </c:pt>
                <c:pt idx="1">
                  <c:v>2019</c:v>
                </c:pt>
                <c:pt idx="2">
                  <c:v>2020</c:v>
                </c:pt>
              </c:numCache>
            </c:numRef>
          </c:cat>
          <c:val>
            <c:numRef>
              <c:f>Gráficas!$F$9:$H$9</c:f>
              <c:numCache>
                <c:formatCode>0.00</c:formatCode>
                <c:ptCount val="3"/>
                <c:pt idx="0">
                  <c:v>34.769143224922125</c:v>
                </c:pt>
                <c:pt idx="1">
                  <c:v>45.186039046556346</c:v>
                </c:pt>
                <c:pt idx="2">
                  <c:v>19.952404383233691</c:v>
                </c:pt>
              </c:numCache>
            </c:numRef>
          </c:val>
          <c:extLst>
            <c:ext xmlns:c16="http://schemas.microsoft.com/office/drawing/2014/chart" uri="{C3380CC4-5D6E-409C-BE32-E72D297353CC}">
              <c16:uniqueId val="{00000000-FF41-49F9-BA95-9F7E3CF77429}"/>
            </c:ext>
          </c:extLst>
        </c:ser>
        <c:dLbls>
          <c:showLegendKey val="0"/>
          <c:showVal val="0"/>
          <c:showCatName val="0"/>
          <c:showSerName val="0"/>
          <c:showPercent val="0"/>
          <c:showBubbleSize val="0"/>
        </c:dLbls>
        <c:gapWidth val="65"/>
        <c:shape val="box"/>
        <c:axId val="130508288"/>
        <c:axId val="215235328"/>
        <c:axId val="0"/>
        <c:extLst>
          <c:ext xmlns:c15="http://schemas.microsoft.com/office/drawing/2012/chart" uri="{02D57815-91ED-43cb-92C2-25804820EDAC}">
            <c15:filteredBarSeries>
              <c15:ser>
                <c:idx val="1"/>
                <c:order val="1"/>
                <c:tx>
                  <c:strRef>
                    <c:extLst>
                      <c:ext uri="{02D57815-91ED-43cb-92C2-25804820EDAC}">
                        <c15:formulaRef>
                          <c15:sqref>Gráficas!$B$10</c15:sqref>
                        </c15:formulaRef>
                      </c:ext>
                    </c:extLst>
                    <c:strCache>
                      <c:ptCount val="1"/>
                    </c:strCache>
                  </c:strRef>
                </c:tx>
                <c:spPr>
                  <a:solidFill>
                    <a:schemeClr val="accent1">
                      <a:tint val="77000"/>
                      <a:alpha val="85000"/>
                    </a:schemeClr>
                  </a:solidFill>
                  <a:ln w="9525" cap="flat" cmpd="sng" algn="ctr">
                    <a:solidFill>
                      <a:schemeClr val="accent1">
                        <a:tint val="77000"/>
                        <a:lumMod val="75000"/>
                      </a:schemeClr>
                    </a:solidFill>
                    <a:round/>
                  </a:ln>
                  <a:effectLst/>
                  <a:sp3d contourW="9525">
                    <a:contourClr>
                      <a:schemeClr val="accent1">
                        <a:tint val="77000"/>
                        <a:lumMod val="75000"/>
                      </a:schemeClr>
                    </a:contourClr>
                  </a:sp3d>
                </c:spPr>
                <c:invertIfNegative val="0"/>
                <c:cat>
                  <c:numRef>
                    <c:extLst>
                      <c:ext uri="{02D57815-91ED-43cb-92C2-25804820EDAC}">
                        <c15:formulaRef>
                          <c15:sqref>Gráficas!$F$8:$H$8</c15:sqref>
                        </c15:formulaRef>
                      </c:ext>
                    </c:extLst>
                    <c:numCache>
                      <c:formatCode>General</c:formatCode>
                      <c:ptCount val="3"/>
                      <c:pt idx="0">
                        <c:v>2018</c:v>
                      </c:pt>
                      <c:pt idx="1">
                        <c:v>2019</c:v>
                      </c:pt>
                      <c:pt idx="2">
                        <c:v>2020</c:v>
                      </c:pt>
                    </c:numCache>
                  </c:numRef>
                </c:cat>
                <c:val>
                  <c:numRef>
                    <c:extLst>
                      <c:ext uri="{02D57815-91ED-43cb-92C2-25804820EDAC}">
                        <c15:formulaRef>
                          <c15:sqref>Gráficas!$F$10:$H$10</c15:sqref>
                        </c15:formulaRef>
                      </c:ext>
                    </c:extLst>
                    <c:numCache>
                      <c:formatCode>0.00</c:formatCode>
                      <c:ptCount val="3"/>
                    </c:numCache>
                  </c:numRef>
                </c:val>
                <c:extLst>
                  <c:ext xmlns:c16="http://schemas.microsoft.com/office/drawing/2014/chart" uri="{C3380CC4-5D6E-409C-BE32-E72D297353CC}">
                    <c16:uniqueId val="{00000001-FF41-49F9-BA95-9F7E3CF77429}"/>
                  </c:ext>
                </c:extLst>
              </c15:ser>
            </c15:filteredBarSeries>
          </c:ext>
        </c:extLst>
      </c:bar3DChart>
      <c:catAx>
        <c:axId val="13050828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5235328"/>
        <c:crosses val="autoZero"/>
        <c:auto val="1"/>
        <c:lblAlgn val="ctr"/>
        <c:lblOffset val="100"/>
        <c:noMultiLvlLbl val="0"/>
      </c:catAx>
      <c:valAx>
        <c:axId val="215235328"/>
        <c:scaling>
          <c:orientation val="minMax"/>
        </c:scaling>
        <c:delete val="0"/>
        <c:axPos val="l"/>
        <c:majorGridlines>
          <c:spPr>
            <a:ln w="9525" cap="flat" cmpd="sng" algn="ctr">
              <a:solidFill>
                <a:schemeClr val="dk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crossAx val="130508288"/>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Gráficas!$B$12</c:f>
              <c:strCache>
                <c:ptCount val="1"/>
                <c:pt idx="0">
                  <c:v>Rot.Activos Totales</c:v>
                </c:pt>
              </c:strCache>
            </c:strRef>
          </c:tx>
          <c:spPr>
            <a:solidFill>
              <a:schemeClr val="accent1">
                <a:shade val="76000"/>
                <a:alpha val="85000"/>
              </a:schemeClr>
            </a:solidFill>
            <a:ln w="9525" cap="flat" cmpd="sng" algn="ctr">
              <a:solidFill>
                <a:schemeClr val="accent1">
                  <a:shade val="76000"/>
                  <a:lumMod val="75000"/>
                </a:schemeClr>
              </a:solidFill>
              <a:round/>
            </a:ln>
            <a:effectLst/>
            <a:sp3d contourW="9525">
              <a:contourClr>
                <a:schemeClr val="accent1">
                  <a:shade val="76000"/>
                  <a:lumMod val="75000"/>
                </a:schemeClr>
              </a:contourClr>
            </a:sp3d>
          </c:spPr>
          <c:invertIfNegative val="0"/>
          <c:cat>
            <c:numRef>
              <c:f>Gráficas!$F$11:$H$11</c:f>
              <c:numCache>
                <c:formatCode>General</c:formatCode>
                <c:ptCount val="3"/>
                <c:pt idx="0">
                  <c:v>2018</c:v>
                </c:pt>
                <c:pt idx="1">
                  <c:v>2019</c:v>
                </c:pt>
                <c:pt idx="2">
                  <c:v>2020</c:v>
                </c:pt>
              </c:numCache>
            </c:numRef>
          </c:cat>
          <c:val>
            <c:numRef>
              <c:f>Gráficas!$F$12:$H$12</c:f>
              <c:numCache>
                <c:formatCode>0.00</c:formatCode>
                <c:ptCount val="3"/>
                <c:pt idx="0">
                  <c:v>2.5906638105673969</c:v>
                </c:pt>
                <c:pt idx="1">
                  <c:v>3.8870475835355398</c:v>
                </c:pt>
                <c:pt idx="2">
                  <c:v>3.4752363768350021</c:v>
                </c:pt>
              </c:numCache>
            </c:numRef>
          </c:val>
          <c:extLst>
            <c:ext xmlns:c16="http://schemas.microsoft.com/office/drawing/2014/chart" uri="{C3380CC4-5D6E-409C-BE32-E72D297353CC}">
              <c16:uniqueId val="{00000000-B7E6-4FB7-BF9A-3B1B575AE432}"/>
            </c:ext>
          </c:extLst>
        </c:ser>
        <c:dLbls>
          <c:showLegendKey val="0"/>
          <c:showVal val="0"/>
          <c:showCatName val="0"/>
          <c:showSerName val="0"/>
          <c:showPercent val="0"/>
          <c:showBubbleSize val="0"/>
        </c:dLbls>
        <c:gapWidth val="65"/>
        <c:shape val="box"/>
        <c:axId val="130510336"/>
        <c:axId val="216040576"/>
        <c:axId val="0"/>
        <c:extLst>
          <c:ext xmlns:c15="http://schemas.microsoft.com/office/drawing/2012/chart" uri="{02D57815-91ED-43cb-92C2-25804820EDAC}">
            <c15:filteredBarSeries>
              <c15:ser>
                <c:idx val="1"/>
                <c:order val="1"/>
                <c:tx>
                  <c:strRef>
                    <c:extLst>
                      <c:ext uri="{02D57815-91ED-43cb-92C2-25804820EDAC}">
                        <c15:formulaRef>
                          <c15:sqref>Gráficas!$B$13</c15:sqref>
                        </c15:formulaRef>
                      </c:ext>
                    </c:extLst>
                    <c:strCache>
                      <c:ptCount val="1"/>
                    </c:strCache>
                  </c:strRef>
                </c:tx>
                <c:spPr>
                  <a:solidFill>
                    <a:schemeClr val="accent1">
                      <a:tint val="77000"/>
                      <a:alpha val="85000"/>
                    </a:schemeClr>
                  </a:solidFill>
                  <a:ln w="9525" cap="flat" cmpd="sng" algn="ctr">
                    <a:solidFill>
                      <a:schemeClr val="accent1">
                        <a:tint val="77000"/>
                        <a:lumMod val="75000"/>
                      </a:schemeClr>
                    </a:solidFill>
                    <a:round/>
                  </a:ln>
                  <a:effectLst/>
                  <a:sp3d contourW="9525">
                    <a:contourClr>
                      <a:schemeClr val="accent1">
                        <a:tint val="77000"/>
                        <a:lumMod val="75000"/>
                      </a:schemeClr>
                    </a:contourClr>
                  </a:sp3d>
                </c:spPr>
                <c:invertIfNegative val="0"/>
                <c:cat>
                  <c:numRef>
                    <c:extLst>
                      <c:ext uri="{02D57815-91ED-43cb-92C2-25804820EDAC}">
                        <c15:formulaRef>
                          <c15:sqref>Gráficas!$F$11:$H$11</c15:sqref>
                        </c15:formulaRef>
                      </c:ext>
                    </c:extLst>
                    <c:numCache>
                      <c:formatCode>General</c:formatCode>
                      <c:ptCount val="3"/>
                      <c:pt idx="0">
                        <c:v>2018</c:v>
                      </c:pt>
                      <c:pt idx="1">
                        <c:v>2019</c:v>
                      </c:pt>
                      <c:pt idx="2">
                        <c:v>2020</c:v>
                      </c:pt>
                    </c:numCache>
                  </c:numRef>
                </c:cat>
                <c:val>
                  <c:numRef>
                    <c:extLst>
                      <c:ext uri="{02D57815-91ED-43cb-92C2-25804820EDAC}">
                        <c15:formulaRef>
                          <c15:sqref>Gráficas!$F$13:$H$13</c15:sqref>
                        </c15:formulaRef>
                      </c:ext>
                    </c:extLst>
                    <c:numCache>
                      <c:formatCode>0.00</c:formatCode>
                      <c:ptCount val="3"/>
                    </c:numCache>
                  </c:numRef>
                </c:val>
                <c:extLst>
                  <c:ext xmlns:c16="http://schemas.microsoft.com/office/drawing/2014/chart" uri="{C3380CC4-5D6E-409C-BE32-E72D297353CC}">
                    <c16:uniqueId val="{00000001-B7E6-4FB7-BF9A-3B1B575AE432}"/>
                  </c:ext>
                </c:extLst>
              </c15:ser>
            </c15:filteredBarSeries>
          </c:ext>
        </c:extLst>
      </c:bar3DChart>
      <c:catAx>
        <c:axId val="13051033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6040576"/>
        <c:crosses val="autoZero"/>
        <c:auto val="1"/>
        <c:lblAlgn val="ctr"/>
        <c:lblOffset val="100"/>
        <c:noMultiLvlLbl val="0"/>
      </c:catAx>
      <c:valAx>
        <c:axId val="216040576"/>
        <c:scaling>
          <c:orientation val="minMax"/>
        </c:scaling>
        <c:delete val="0"/>
        <c:axPos val="l"/>
        <c:majorGridlines>
          <c:spPr>
            <a:ln w="9525" cap="flat" cmpd="sng" algn="ctr">
              <a:solidFill>
                <a:schemeClr val="dk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crossAx val="130510336"/>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CO"/>
              <a:t>Rotación cxc y proveedores</a:t>
            </a:r>
          </a:p>
        </c:rich>
      </c:tx>
      <c:overlay val="0"/>
      <c:spPr>
        <a:noFill/>
        <a:ln>
          <a:noFill/>
        </a:ln>
        <a:effectLst/>
      </c:sp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Gráficas!$B$15</c:f>
              <c:strCache>
                <c:ptCount val="1"/>
                <c:pt idx="0">
                  <c:v>Rotación cuentas x cobrar</c:v>
                </c:pt>
              </c:strCache>
            </c:strRef>
          </c:tx>
          <c:spPr>
            <a:solidFill>
              <a:schemeClr val="accent1">
                <a:shade val="58000"/>
                <a:alpha val="85000"/>
              </a:schemeClr>
            </a:solidFill>
            <a:ln w="9525" cap="flat" cmpd="sng" algn="ctr">
              <a:solidFill>
                <a:schemeClr val="accent1">
                  <a:shade val="58000"/>
                  <a:lumMod val="75000"/>
                </a:schemeClr>
              </a:solidFill>
              <a:round/>
            </a:ln>
            <a:effectLst/>
            <a:sp3d contourW="9525">
              <a:contourClr>
                <a:schemeClr val="accent1">
                  <a:shade val="58000"/>
                  <a:lumMod val="75000"/>
                </a:schemeClr>
              </a:contourClr>
            </a:sp3d>
          </c:spPr>
          <c:invertIfNegative val="0"/>
          <c:cat>
            <c:numRef>
              <c:f>Gráficas!$F$14:$H$14</c:f>
              <c:numCache>
                <c:formatCode>General</c:formatCode>
                <c:ptCount val="3"/>
                <c:pt idx="0">
                  <c:v>2018</c:v>
                </c:pt>
                <c:pt idx="1">
                  <c:v>2019</c:v>
                </c:pt>
                <c:pt idx="2">
                  <c:v>2020</c:v>
                </c:pt>
              </c:numCache>
            </c:numRef>
          </c:cat>
          <c:val>
            <c:numRef>
              <c:f>Gráficas!$F$15:$H$15</c:f>
              <c:numCache>
                <c:formatCode>0.00</c:formatCode>
                <c:ptCount val="3"/>
                <c:pt idx="0">
                  <c:v>15.929128247311265</c:v>
                </c:pt>
                <c:pt idx="1">
                  <c:v>9.2606931906573333</c:v>
                </c:pt>
                <c:pt idx="2">
                  <c:v>7.0980633731927245</c:v>
                </c:pt>
              </c:numCache>
            </c:numRef>
          </c:val>
          <c:extLst>
            <c:ext xmlns:c16="http://schemas.microsoft.com/office/drawing/2014/chart" uri="{C3380CC4-5D6E-409C-BE32-E72D297353CC}">
              <c16:uniqueId val="{00000000-EA59-4446-BE46-51D5063E9240}"/>
            </c:ext>
          </c:extLst>
        </c:ser>
        <c:ser>
          <c:idx val="2"/>
          <c:order val="2"/>
          <c:tx>
            <c:strRef>
              <c:f>Gráficas!$B$17</c:f>
              <c:strCache>
                <c:ptCount val="1"/>
                <c:pt idx="0">
                  <c:v>Rotación proveedores</c:v>
                </c:pt>
              </c:strCache>
            </c:strRef>
          </c:tx>
          <c:spPr>
            <a:solidFill>
              <a:schemeClr val="accent1">
                <a:tint val="86000"/>
                <a:alpha val="85000"/>
              </a:schemeClr>
            </a:solidFill>
            <a:ln w="9525" cap="flat" cmpd="sng" algn="ctr">
              <a:solidFill>
                <a:schemeClr val="accent1">
                  <a:tint val="86000"/>
                  <a:lumMod val="75000"/>
                </a:schemeClr>
              </a:solidFill>
              <a:round/>
            </a:ln>
            <a:effectLst/>
            <a:sp3d contourW="9525">
              <a:contourClr>
                <a:schemeClr val="accent1">
                  <a:tint val="86000"/>
                  <a:lumMod val="75000"/>
                </a:schemeClr>
              </a:contourClr>
            </a:sp3d>
          </c:spPr>
          <c:invertIfNegative val="0"/>
          <c:cat>
            <c:numRef>
              <c:f>Gráficas!$F$14:$H$14</c:f>
              <c:numCache>
                <c:formatCode>General</c:formatCode>
                <c:ptCount val="3"/>
                <c:pt idx="0">
                  <c:v>2018</c:v>
                </c:pt>
                <c:pt idx="1">
                  <c:v>2019</c:v>
                </c:pt>
                <c:pt idx="2">
                  <c:v>2020</c:v>
                </c:pt>
              </c:numCache>
            </c:numRef>
          </c:cat>
          <c:val>
            <c:numRef>
              <c:f>Gráficas!$F$17:$H$17</c:f>
              <c:numCache>
                <c:formatCode>0.00</c:formatCode>
                <c:ptCount val="3"/>
                <c:pt idx="0">
                  <c:v>52.200176252833977</c:v>
                </c:pt>
                <c:pt idx="1">
                  <c:v>54.577081777488601</c:v>
                </c:pt>
                <c:pt idx="2">
                  <c:v>24.412395960836879</c:v>
                </c:pt>
              </c:numCache>
            </c:numRef>
          </c:val>
          <c:extLst>
            <c:ext xmlns:c16="http://schemas.microsoft.com/office/drawing/2014/chart" uri="{C3380CC4-5D6E-409C-BE32-E72D297353CC}">
              <c16:uniqueId val="{00000002-EA59-4446-BE46-51D5063E9240}"/>
            </c:ext>
          </c:extLst>
        </c:ser>
        <c:dLbls>
          <c:showLegendKey val="0"/>
          <c:showVal val="0"/>
          <c:showCatName val="0"/>
          <c:showSerName val="0"/>
          <c:showPercent val="0"/>
          <c:showBubbleSize val="0"/>
        </c:dLbls>
        <c:gapWidth val="65"/>
        <c:shape val="box"/>
        <c:axId val="216396800"/>
        <c:axId val="216042880"/>
        <c:axId val="0"/>
        <c:extLst>
          <c:ext xmlns:c15="http://schemas.microsoft.com/office/drawing/2012/chart" uri="{02D57815-91ED-43cb-92C2-25804820EDAC}">
            <c15:filteredBarSeries>
              <c15:ser>
                <c:idx val="1"/>
                <c:order val="1"/>
                <c:tx>
                  <c:strRef>
                    <c:extLst>
                      <c:ext uri="{02D57815-91ED-43cb-92C2-25804820EDAC}">
                        <c15:formulaRef>
                          <c15:sqref>Gráficas!$B$16</c15:sqref>
                        </c15:formulaRef>
                      </c:ext>
                    </c:extLst>
                    <c:strCache>
                      <c:ptCount val="1"/>
                    </c:strCache>
                  </c:strRef>
                </c:tx>
                <c:spPr>
                  <a:solidFill>
                    <a:schemeClr val="accent1">
                      <a:shade val="86000"/>
                      <a:alpha val="85000"/>
                    </a:schemeClr>
                  </a:solidFill>
                  <a:ln w="9525" cap="flat" cmpd="sng" algn="ctr">
                    <a:solidFill>
                      <a:schemeClr val="accent1">
                        <a:shade val="86000"/>
                        <a:lumMod val="75000"/>
                      </a:schemeClr>
                    </a:solidFill>
                    <a:round/>
                  </a:ln>
                  <a:effectLst/>
                  <a:sp3d contourW="9525">
                    <a:contourClr>
                      <a:schemeClr val="accent1">
                        <a:shade val="86000"/>
                        <a:lumMod val="75000"/>
                      </a:schemeClr>
                    </a:contourClr>
                  </a:sp3d>
                </c:spPr>
                <c:invertIfNegative val="0"/>
                <c:cat>
                  <c:numRef>
                    <c:extLst>
                      <c:ext uri="{02D57815-91ED-43cb-92C2-25804820EDAC}">
                        <c15:formulaRef>
                          <c15:sqref>Gráficas!$F$14:$H$14</c15:sqref>
                        </c15:formulaRef>
                      </c:ext>
                    </c:extLst>
                    <c:numCache>
                      <c:formatCode>General</c:formatCode>
                      <c:ptCount val="3"/>
                      <c:pt idx="0">
                        <c:v>2018</c:v>
                      </c:pt>
                      <c:pt idx="1">
                        <c:v>2019</c:v>
                      </c:pt>
                      <c:pt idx="2">
                        <c:v>2020</c:v>
                      </c:pt>
                    </c:numCache>
                  </c:numRef>
                </c:cat>
                <c:val>
                  <c:numRef>
                    <c:extLst>
                      <c:ext uri="{02D57815-91ED-43cb-92C2-25804820EDAC}">
                        <c15:formulaRef>
                          <c15:sqref>Gráficas!$F$16:$H$16</c15:sqref>
                        </c15:formulaRef>
                      </c:ext>
                    </c:extLst>
                    <c:numCache>
                      <c:formatCode>0.00</c:formatCode>
                      <c:ptCount val="3"/>
                    </c:numCache>
                  </c:numRef>
                </c:val>
                <c:extLst>
                  <c:ext xmlns:c16="http://schemas.microsoft.com/office/drawing/2014/chart" uri="{C3380CC4-5D6E-409C-BE32-E72D297353CC}">
                    <c16:uniqueId val="{00000001-EA59-4446-BE46-51D5063E9240}"/>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Gráficas!$B$18</c15:sqref>
                        </c15:formulaRef>
                      </c:ext>
                    </c:extLst>
                    <c:strCache>
                      <c:ptCount val="1"/>
                    </c:strCache>
                  </c:strRef>
                </c:tx>
                <c:spPr>
                  <a:solidFill>
                    <a:schemeClr val="accent1">
                      <a:tint val="58000"/>
                      <a:alpha val="85000"/>
                    </a:schemeClr>
                  </a:solidFill>
                  <a:ln w="9525" cap="flat" cmpd="sng" algn="ctr">
                    <a:solidFill>
                      <a:schemeClr val="accent1">
                        <a:tint val="58000"/>
                        <a:lumMod val="75000"/>
                      </a:schemeClr>
                    </a:solidFill>
                    <a:round/>
                  </a:ln>
                  <a:effectLst/>
                  <a:sp3d contourW="9525">
                    <a:contourClr>
                      <a:schemeClr val="accent1">
                        <a:tint val="58000"/>
                        <a:lumMod val="75000"/>
                      </a:schemeClr>
                    </a:contourClr>
                  </a:sp3d>
                </c:spPr>
                <c:invertIfNegative val="0"/>
                <c:cat>
                  <c:numRef>
                    <c:extLst xmlns:c15="http://schemas.microsoft.com/office/drawing/2012/chart">
                      <c:ext xmlns:c15="http://schemas.microsoft.com/office/drawing/2012/chart" uri="{02D57815-91ED-43cb-92C2-25804820EDAC}">
                        <c15:formulaRef>
                          <c15:sqref>Gráficas!$F$14:$H$14</c15:sqref>
                        </c15:formulaRef>
                      </c:ext>
                    </c:extLst>
                    <c:numCache>
                      <c:formatCode>General</c:formatCode>
                      <c:ptCount val="3"/>
                      <c:pt idx="0">
                        <c:v>2018</c:v>
                      </c:pt>
                      <c:pt idx="1">
                        <c:v>2019</c:v>
                      </c:pt>
                      <c:pt idx="2">
                        <c:v>2020</c:v>
                      </c:pt>
                    </c:numCache>
                  </c:numRef>
                </c:cat>
                <c:val>
                  <c:numRef>
                    <c:extLst xmlns:c15="http://schemas.microsoft.com/office/drawing/2012/chart">
                      <c:ext xmlns:c15="http://schemas.microsoft.com/office/drawing/2012/chart" uri="{02D57815-91ED-43cb-92C2-25804820EDAC}">
                        <c15:formulaRef>
                          <c15:sqref>Gráficas!$F$18:$H$18</c15:sqref>
                        </c15:formulaRef>
                      </c:ext>
                    </c:extLst>
                    <c:numCache>
                      <c:formatCode>0.00</c:formatCode>
                      <c:ptCount val="3"/>
                    </c:numCache>
                  </c:numRef>
                </c:val>
                <c:extLst xmlns:c15="http://schemas.microsoft.com/office/drawing/2012/chart">
                  <c:ext xmlns:c16="http://schemas.microsoft.com/office/drawing/2014/chart" uri="{C3380CC4-5D6E-409C-BE32-E72D297353CC}">
                    <c16:uniqueId val="{00000003-EA59-4446-BE46-51D5063E9240}"/>
                  </c:ext>
                </c:extLst>
              </c15:ser>
            </c15:filteredBarSeries>
          </c:ext>
        </c:extLst>
      </c:bar3DChart>
      <c:catAx>
        <c:axId val="21639680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6042880"/>
        <c:crosses val="autoZero"/>
        <c:auto val="1"/>
        <c:lblAlgn val="ctr"/>
        <c:lblOffset val="100"/>
        <c:noMultiLvlLbl val="0"/>
      </c:catAx>
      <c:valAx>
        <c:axId val="216042880"/>
        <c:scaling>
          <c:orientation val="minMax"/>
        </c:scaling>
        <c:delete val="0"/>
        <c:axPos val="l"/>
        <c:majorGridlines>
          <c:spPr>
            <a:ln w="9525" cap="flat" cmpd="sng" algn="ctr">
              <a:solidFill>
                <a:schemeClr val="dk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crossAx val="216396800"/>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Gráficas!$B$20</c:f>
              <c:strCache>
                <c:ptCount val="1"/>
                <c:pt idx="0">
                  <c:v>Rotación de efectivo </c:v>
                </c:pt>
              </c:strCache>
            </c:strRef>
          </c:tx>
          <c:spPr>
            <a:solidFill>
              <a:schemeClr val="accent1">
                <a:shade val="76000"/>
                <a:alpha val="85000"/>
              </a:schemeClr>
            </a:solidFill>
            <a:ln w="9525" cap="flat" cmpd="sng" algn="ctr">
              <a:solidFill>
                <a:schemeClr val="accent1">
                  <a:shade val="76000"/>
                  <a:lumMod val="75000"/>
                </a:schemeClr>
              </a:solidFill>
              <a:round/>
            </a:ln>
            <a:effectLst/>
            <a:sp3d contourW="9525">
              <a:contourClr>
                <a:schemeClr val="accent1">
                  <a:shade val="76000"/>
                  <a:lumMod val="75000"/>
                </a:schemeClr>
              </a:contourClr>
            </a:sp3d>
          </c:spPr>
          <c:invertIfNegative val="0"/>
          <c:cat>
            <c:numRef>
              <c:f>Gráficas!$F$19:$H$19</c:f>
              <c:numCache>
                <c:formatCode>General</c:formatCode>
                <c:ptCount val="3"/>
                <c:pt idx="0">
                  <c:v>2018</c:v>
                </c:pt>
                <c:pt idx="1">
                  <c:v>2019</c:v>
                </c:pt>
                <c:pt idx="2">
                  <c:v>2020</c:v>
                </c:pt>
              </c:numCache>
            </c:numRef>
          </c:cat>
          <c:val>
            <c:numRef>
              <c:f>Gráficas!$F$20:$H$20</c:f>
              <c:numCache>
                <c:formatCode>0.00</c:formatCode>
                <c:ptCount val="3"/>
                <c:pt idx="0">
                  <c:v>-36.271048005522715</c:v>
                </c:pt>
                <c:pt idx="1">
                  <c:v>-45.316388586831266</c:v>
                </c:pt>
                <c:pt idx="2">
                  <c:v>-17.314332587644152</c:v>
                </c:pt>
              </c:numCache>
            </c:numRef>
          </c:val>
          <c:extLst>
            <c:ext xmlns:c16="http://schemas.microsoft.com/office/drawing/2014/chart" uri="{C3380CC4-5D6E-409C-BE32-E72D297353CC}">
              <c16:uniqueId val="{00000000-498E-4C04-96F5-11F9765D357C}"/>
            </c:ext>
          </c:extLst>
        </c:ser>
        <c:dLbls>
          <c:showLegendKey val="0"/>
          <c:showVal val="0"/>
          <c:showCatName val="0"/>
          <c:showSerName val="0"/>
          <c:showPercent val="0"/>
          <c:showBubbleSize val="0"/>
        </c:dLbls>
        <c:gapWidth val="65"/>
        <c:shape val="box"/>
        <c:axId val="216398336"/>
        <c:axId val="216045184"/>
        <c:axId val="0"/>
        <c:extLst>
          <c:ext xmlns:c15="http://schemas.microsoft.com/office/drawing/2012/chart" uri="{02D57815-91ED-43cb-92C2-25804820EDAC}">
            <c15:filteredBarSeries>
              <c15:ser>
                <c:idx val="1"/>
                <c:order val="1"/>
                <c:tx>
                  <c:strRef>
                    <c:extLst>
                      <c:ext uri="{02D57815-91ED-43cb-92C2-25804820EDAC}">
                        <c15:formulaRef>
                          <c15:sqref>Gráficas!$B$21</c15:sqref>
                        </c15:formulaRef>
                      </c:ext>
                    </c:extLst>
                    <c:strCache>
                      <c:ptCount val="1"/>
                    </c:strCache>
                  </c:strRef>
                </c:tx>
                <c:spPr>
                  <a:solidFill>
                    <a:schemeClr val="accent1">
                      <a:tint val="77000"/>
                      <a:alpha val="85000"/>
                    </a:schemeClr>
                  </a:solidFill>
                  <a:ln w="9525" cap="flat" cmpd="sng" algn="ctr">
                    <a:solidFill>
                      <a:schemeClr val="accent1">
                        <a:tint val="77000"/>
                        <a:lumMod val="75000"/>
                      </a:schemeClr>
                    </a:solidFill>
                    <a:round/>
                  </a:ln>
                  <a:effectLst/>
                  <a:sp3d contourW="9525">
                    <a:contourClr>
                      <a:schemeClr val="accent1">
                        <a:tint val="77000"/>
                        <a:lumMod val="75000"/>
                      </a:schemeClr>
                    </a:contourClr>
                  </a:sp3d>
                </c:spPr>
                <c:invertIfNegative val="0"/>
                <c:cat>
                  <c:numRef>
                    <c:extLst>
                      <c:ext uri="{02D57815-91ED-43cb-92C2-25804820EDAC}">
                        <c15:formulaRef>
                          <c15:sqref>Gráficas!$F$19:$H$19</c15:sqref>
                        </c15:formulaRef>
                      </c:ext>
                    </c:extLst>
                    <c:numCache>
                      <c:formatCode>General</c:formatCode>
                      <c:ptCount val="3"/>
                      <c:pt idx="0">
                        <c:v>2018</c:v>
                      </c:pt>
                      <c:pt idx="1">
                        <c:v>2019</c:v>
                      </c:pt>
                      <c:pt idx="2">
                        <c:v>2020</c:v>
                      </c:pt>
                    </c:numCache>
                  </c:numRef>
                </c:cat>
                <c:val>
                  <c:numRef>
                    <c:extLst>
                      <c:ext uri="{02D57815-91ED-43cb-92C2-25804820EDAC}">
                        <c15:formulaRef>
                          <c15:sqref>Gráficas!$F$21:$H$21</c15:sqref>
                        </c15:formulaRef>
                      </c:ext>
                    </c:extLst>
                    <c:numCache>
                      <c:formatCode>0.00</c:formatCode>
                      <c:ptCount val="3"/>
                    </c:numCache>
                  </c:numRef>
                </c:val>
                <c:extLst>
                  <c:ext xmlns:c16="http://schemas.microsoft.com/office/drawing/2014/chart" uri="{C3380CC4-5D6E-409C-BE32-E72D297353CC}">
                    <c16:uniqueId val="{00000001-498E-4C04-96F5-11F9765D357C}"/>
                  </c:ext>
                </c:extLst>
              </c15:ser>
            </c15:filteredBarSeries>
          </c:ext>
        </c:extLst>
      </c:bar3DChart>
      <c:catAx>
        <c:axId val="21639833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6045184"/>
        <c:crosses val="autoZero"/>
        <c:auto val="1"/>
        <c:lblAlgn val="ctr"/>
        <c:lblOffset val="100"/>
        <c:noMultiLvlLbl val="0"/>
      </c:catAx>
      <c:valAx>
        <c:axId val="216045184"/>
        <c:scaling>
          <c:orientation val="minMax"/>
        </c:scaling>
        <c:delete val="0"/>
        <c:axPos val="l"/>
        <c:majorGridlines>
          <c:spPr>
            <a:ln w="9525" cap="flat" cmpd="sng" algn="ctr">
              <a:solidFill>
                <a:schemeClr val="dk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crossAx val="216398336"/>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Gráficas!$B$23</c:f>
              <c:strCache>
                <c:ptCount val="1"/>
                <c:pt idx="0">
                  <c:v>Rotac. Patrimonio</c:v>
                </c:pt>
              </c:strCache>
            </c:strRef>
          </c:tx>
          <c:spPr>
            <a:solidFill>
              <a:schemeClr val="accent1">
                <a:shade val="76000"/>
                <a:alpha val="85000"/>
              </a:schemeClr>
            </a:solidFill>
            <a:ln w="9525" cap="flat" cmpd="sng" algn="ctr">
              <a:solidFill>
                <a:schemeClr val="accent1">
                  <a:shade val="76000"/>
                  <a:lumMod val="75000"/>
                </a:schemeClr>
              </a:solidFill>
              <a:round/>
            </a:ln>
            <a:effectLst/>
            <a:sp3d contourW="9525">
              <a:contourClr>
                <a:schemeClr val="accent1">
                  <a:shade val="76000"/>
                  <a:lumMod val="75000"/>
                </a:schemeClr>
              </a:contourClr>
            </a:sp3d>
          </c:spPr>
          <c:invertIfNegative val="0"/>
          <c:cat>
            <c:numRef>
              <c:f>Gráficas!$F$22:$H$22</c:f>
              <c:numCache>
                <c:formatCode>General</c:formatCode>
                <c:ptCount val="3"/>
                <c:pt idx="0">
                  <c:v>2018</c:v>
                </c:pt>
                <c:pt idx="1">
                  <c:v>2019</c:v>
                </c:pt>
                <c:pt idx="2">
                  <c:v>2020</c:v>
                </c:pt>
              </c:numCache>
            </c:numRef>
          </c:cat>
          <c:val>
            <c:numRef>
              <c:f>Gráficas!$F$23:$H$23</c:f>
              <c:numCache>
                <c:formatCode>0.00</c:formatCode>
                <c:ptCount val="3"/>
                <c:pt idx="0">
                  <c:v>20.188513786699026</c:v>
                </c:pt>
                <c:pt idx="1">
                  <c:v>14.771000694984235</c:v>
                </c:pt>
                <c:pt idx="2">
                  <c:v>7.9711125002686423</c:v>
                </c:pt>
              </c:numCache>
            </c:numRef>
          </c:val>
          <c:extLst>
            <c:ext xmlns:c16="http://schemas.microsoft.com/office/drawing/2014/chart" uri="{C3380CC4-5D6E-409C-BE32-E72D297353CC}">
              <c16:uniqueId val="{00000000-7C0E-4A31-B005-3F4F682E9E4F}"/>
            </c:ext>
          </c:extLst>
        </c:ser>
        <c:dLbls>
          <c:showLegendKey val="0"/>
          <c:showVal val="0"/>
          <c:showCatName val="0"/>
          <c:showSerName val="0"/>
          <c:showPercent val="0"/>
          <c:showBubbleSize val="0"/>
        </c:dLbls>
        <c:gapWidth val="65"/>
        <c:shape val="box"/>
        <c:axId val="216399360"/>
        <c:axId val="216178688"/>
        <c:axId val="0"/>
        <c:extLst>
          <c:ext xmlns:c15="http://schemas.microsoft.com/office/drawing/2012/chart" uri="{02D57815-91ED-43cb-92C2-25804820EDAC}">
            <c15:filteredBarSeries>
              <c15:ser>
                <c:idx val="1"/>
                <c:order val="1"/>
                <c:tx>
                  <c:strRef>
                    <c:extLst>
                      <c:ext uri="{02D57815-91ED-43cb-92C2-25804820EDAC}">
                        <c15:formulaRef>
                          <c15:sqref>Gráficas!$B$24</c15:sqref>
                        </c15:formulaRef>
                      </c:ext>
                    </c:extLst>
                    <c:strCache>
                      <c:ptCount val="1"/>
                    </c:strCache>
                  </c:strRef>
                </c:tx>
                <c:spPr>
                  <a:solidFill>
                    <a:schemeClr val="accent1">
                      <a:tint val="77000"/>
                      <a:alpha val="85000"/>
                    </a:schemeClr>
                  </a:solidFill>
                  <a:ln w="9525" cap="flat" cmpd="sng" algn="ctr">
                    <a:solidFill>
                      <a:schemeClr val="accent1">
                        <a:tint val="77000"/>
                        <a:lumMod val="75000"/>
                      </a:schemeClr>
                    </a:solidFill>
                    <a:round/>
                  </a:ln>
                  <a:effectLst/>
                  <a:sp3d contourW="9525">
                    <a:contourClr>
                      <a:schemeClr val="accent1">
                        <a:tint val="77000"/>
                        <a:lumMod val="75000"/>
                      </a:schemeClr>
                    </a:contourClr>
                  </a:sp3d>
                </c:spPr>
                <c:invertIfNegative val="0"/>
                <c:cat>
                  <c:numRef>
                    <c:extLst>
                      <c:ext uri="{02D57815-91ED-43cb-92C2-25804820EDAC}">
                        <c15:formulaRef>
                          <c15:sqref>Gráficas!$F$22:$H$22</c15:sqref>
                        </c15:formulaRef>
                      </c:ext>
                    </c:extLst>
                    <c:numCache>
                      <c:formatCode>General</c:formatCode>
                      <c:ptCount val="3"/>
                      <c:pt idx="0">
                        <c:v>2018</c:v>
                      </c:pt>
                      <c:pt idx="1">
                        <c:v>2019</c:v>
                      </c:pt>
                      <c:pt idx="2">
                        <c:v>2020</c:v>
                      </c:pt>
                    </c:numCache>
                  </c:numRef>
                </c:cat>
                <c:val>
                  <c:numRef>
                    <c:extLst>
                      <c:ext uri="{02D57815-91ED-43cb-92C2-25804820EDAC}">
                        <c15:formulaRef>
                          <c15:sqref>Gráficas!$F$24:$H$24</c15:sqref>
                        </c15:formulaRef>
                      </c:ext>
                    </c:extLst>
                    <c:numCache>
                      <c:formatCode>0.00</c:formatCode>
                      <c:ptCount val="3"/>
                    </c:numCache>
                  </c:numRef>
                </c:val>
                <c:extLst>
                  <c:ext xmlns:c16="http://schemas.microsoft.com/office/drawing/2014/chart" uri="{C3380CC4-5D6E-409C-BE32-E72D297353CC}">
                    <c16:uniqueId val="{00000001-7C0E-4A31-B005-3F4F682E9E4F}"/>
                  </c:ext>
                </c:extLst>
              </c15:ser>
            </c15:filteredBarSeries>
          </c:ext>
        </c:extLst>
      </c:bar3DChart>
      <c:catAx>
        <c:axId val="21639936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6178688"/>
        <c:crosses val="autoZero"/>
        <c:auto val="1"/>
        <c:lblAlgn val="ctr"/>
        <c:lblOffset val="100"/>
        <c:noMultiLvlLbl val="0"/>
      </c:catAx>
      <c:valAx>
        <c:axId val="216178688"/>
        <c:scaling>
          <c:orientation val="minMax"/>
        </c:scaling>
        <c:delete val="0"/>
        <c:axPos val="l"/>
        <c:majorGridlines>
          <c:spPr>
            <a:ln w="9525" cap="flat" cmpd="sng" algn="ctr">
              <a:solidFill>
                <a:schemeClr val="dk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crossAx val="216399360"/>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BSC!A1"/><Relationship Id="rId13" Type="http://schemas.openxmlformats.org/officeDocument/2006/relationships/image" Target="../media/image4.svg"/><Relationship Id="rId18" Type="http://schemas.openxmlformats.org/officeDocument/2006/relationships/image" Target="../media/image9.png"/><Relationship Id="rId3" Type="http://schemas.openxmlformats.org/officeDocument/2006/relationships/hyperlink" Target="#'Peer Group '!A1"/><Relationship Id="rId7" Type="http://schemas.openxmlformats.org/officeDocument/2006/relationships/hyperlink" Target="#DOFA!A1"/><Relationship Id="rId12" Type="http://schemas.openxmlformats.org/officeDocument/2006/relationships/image" Target="../media/image3.png"/><Relationship Id="rId17" Type="http://schemas.openxmlformats.org/officeDocument/2006/relationships/image" Target="../media/image8.svg"/><Relationship Id="rId2" Type="http://schemas.openxmlformats.org/officeDocument/2006/relationships/hyperlink" Target="#Gr&#225;ficas!A1"/><Relationship Id="rId16" Type="http://schemas.openxmlformats.org/officeDocument/2006/relationships/image" Target="../media/image7.png"/><Relationship Id="rId1" Type="http://schemas.openxmlformats.org/officeDocument/2006/relationships/hyperlink" Target="#'Razones financieras'!A1"/><Relationship Id="rId6" Type="http://schemas.openxmlformats.org/officeDocument/2006/relationships/hyperlink" Target="#'An&#225;lisis Horizontal'!A1"/><Relationship Id="rId11" Type="http://schemas.openxmlformats.org/officeDocument/2006/relationships/image" Target="../media/image2.svg"/><Relationship Id="rId5" Type="http://schemas.openxmlformats.org/officeDocument/2006/relationships/hyperlink" Target="#'An&#225;lisis Vertical'!A1"/><Relationship Id="rId15" Type="http://schemas.openxmlformats.org/officeDocument/2006/relationships/image" Target="../media/image6.svg"/><Relationship Id="rId10" Type="http://schemas.openxmlformats.org/officeDocument/2006/relationships/image" Target="../media/image1.png"/><Relationship Id="rId19" Type="http://schemas.openxmlformats.org/officeDocument/2006/relationships/image" Target="../media/image10.svg"/><Relationship Id="rId4" Type="http://schemas.openxmlformats.org/officeDocument/2006/relationships/hyperlink" Target="#'Estados financieros'!A1"/><Relationship Id="rId9" Type="http://schemas.openxmlformats.org/officeDocument/2006/relationships/hyperlink" Target="#Variables!A1"/><Relationship Id="rId14" Type="http://schemas.openxmlformats.org/officeDocument/2006/relationships/image" Target="../media/image5.png"/></Relationships>
</file>

<file path=xl/drawings/_rels/drawing10.xml.rels><?xml version="1.0" encoding="UTF-8" standalone="yes"?>
<Relationships xmlns="http://schemas.openxmlformats.org/package/2006/relationships"><Relationship Id="rId8" Type="http://schemas.openxmlformats.org/officeDocument/2006/relationships/chart" Target="../charts/chart28.xml"/><Relationship Id="rId13" Type="http://schemas.openxmlformats.org/officeDocument/2006/relationships/hyperlink" Target="#Men&#250;!A1"/><Relationship Id="rId3" Type="http://schemas.openxmlformats.org/officeDocument/2006/relationships/chart" Target="../charts/chart23.xml"/><Relationship Id="rId7" Type="http://schemas.openxmlformats.org/officeDocument/2006/relationships/chart" Target="../charts/chart27.xml"/><Relationship Id="rId12" Type="http://schemas.openxmlformats.org/officeDocument/2006/relationships/chart" Target="../charts/chart32.xml"/><Relationship Id="rId2" Type="http://schemas.openxmlformats.org/officeDocument/2006/relationships/chart" Target="../charts/chart22.xml"/><Relationship Id="rId1" Type="http://schemas.openxmlformats.org/officeDocument/2006/relationships/chart" Target="../charts/chart21.xml"/><Relationship Id="rId6" Type="http://schemas.openxmlformats.org/officeDocument/2006/relationships/chart" Target="../charts/chart26.xml"/><Relationship Id="rId11" Type="http://schemas.openxmlformats.org/officeDocument/2006/relationships/chart" Target="../charts/chart31.xml"/><Relationship Id="rId5" Type="http://schemas.openxmlformats.org/officeDocument/2006/relationships/chart" Target="../charts/chart25.xml"/><Relationship Id="rId15" Type="http://schemas.openxmlformats.org/officeDocument/2006/relationships/hyperlink" Target="https://pixabay.com/es/bot%C3%B3n-inicio-parada-en-fuera-pc-305751/" TargetMode="External"/><Relationship Id="rId10" Type="http://schemas.openxmlformats.org/officeDocument/2006/relationships/chart" Target="../charts/chart30.xml"/><Relationship Id="rId4" Type="http://schemas.openxmlformats.org/officeDocument/2006/relationships/chart" Target="../charts/chart24.xml"/><Relationship Id="rId9" Type="http://schemas.openxmlformats.org/officeDocument/2006/relationships/chart" Target="../charts/chart29.xml"/><Relationship Id="rId14" Type="http://schemas.openxmlformats.org/officeDocument/2006/relationships/image" Target="../media/image14.png"/></Relationships>
</file>

<file path=xl/drawings/_rels/drawing12.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4" Type="http://schemas.openxmlformats.org/officeDocument/2006/relationships/image" Target="../media/image2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hyperlink" Target="#Men&#250;!A1"/><Relationship Id="rId1" Type="http://schemas.openxmlformats.org/officeDocument/2006/relationships/image" Target="../media/image11.jpeg"/><Relationship Id="rId4" Type="http://schemas.openxmlformats.org/officeDocument/2006/relationships/hyperlink" Target="https://pixabay.com/es/bot%C3%B3n-inicio-parada-en-fuera-pc-305751/" TargetMode="External"/></Relationships>
</file>

<file path=xl/drawings/_rels/drawing3.xml.rels><?xml version="1.0" encoding="UTF-8" standalone="yes"?>
<Relationships xmlns="http://schemas.openxmlformats.org/package/2006/relationships"><Relationship Id="rId3" Type="http://schemas.openxmlformats.org/officeDocument/2006/relationships/hyperlink" Target="https://pixabay.com/es/bot%C3%B3n-inicio-parada-en-fuera-pc-305751/" TargetMode="External"/><Relationship Id="rId2" Type="http://schemas.openxmlformats.org/officeDocument/2006/relationships/image" Target="../media/image12.png"/><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hyperlink" Target="#Men&#250;!A1"/><Relationship Id="rId1" Type="http://schemas.openxmlformats.org/officeDocument/2006/relationships/image" Target="../media/image13.jpeg"/><Relationship Id="rId4" Type="http://schemas.openxmlformats.org/officeDocument/2006/relationships/hyperlink" Target="https://pixabay.com/es/bot%C3%B3n-inicio-parada-en-fuera-pc-305751/" TargetMode="External"/></Relationships>
</file>

<file path=xl/drawings/_rels/drawing5.xml.rels><?xml version="1.0" encoding="UTF-8" standalone="yes"?>
<Relationships xmlns="http://schemas.openxmlformats.org/package/2006/relationships"><Relationship Id="rId3" Type="http://schemas.openxmlformats.org/officeDocument/2006/relationships/hyperlink" Target="https://pixabay.com/es/bot%C3%B3n-inicio-parada-en-fuera-pc-305751/" TargetMode="External"/><Relationship Id="rId2" Type="http://schemas.openxmlformats.org/officeDocument/2006/relationships/image" Target="../media/image14.png"/><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https://pixabay.com/es/bot%C3%B3n-inicio-parada-en-fuera-pc-305751/" TargetMode="External"/><Relationship Id="rId2" Type="http://schemas.openxmlformats.org/officeDocument/2006/relationships/image" Target="../media/image15.png"/><Relationship Id="rId1" Type="http://schemas.openxmlformats.org/officeDocument/2006/relationships/hyperlink" Target="#Men&#250;!A1"/></Relationships>
</file>

<file path=xl/drawings/_rels/drawing7.xml.rels><?xml version="1.0" encoding="UTF-8" standalone="yes"?>
<Relationships xmlns="http://schemas.openxmlformats.org/package/2006/relationships"><Relationship Id="rId3" Type="http://schemas.openxmlformats.org/officeDocument/2006/relationships/hyperlink" Target="#Men&#250;!A1"/><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hyperlink" Target="https://pixabay.com/es/bot%C3%B3n-inicio-parada-en-fuera-pc-305751/" TargetMode="External"/><Relationship Id="rId4" Type="http://schemas.openxmlformats.org/officeDocument/2006/relationships/image" Target="../media/image16.png"/></Relationships>
</file>

<file path=xl/drawings/_rels/drawing8.xml.rels><?xml version="1.0" encoding="UTF-8" standalone="yes"?>
<Relationships xmlns="http://schemas.openxmlformats.org/package/2006/relationships"><Relationship Id="rId3" Type="http://schemas.openxmlformats.org/officeDocument/2006/relationships/hyperlink" Target="https://pixabay.com/es/bot%C3%B3n-inicio-parada-en-fuera-pc-305751/" TargetMode="External"/><Relationship Id="rId2" Type="http://schemas.openxmlformats.org/officeDocument/2006/relationships/image" Target="../media/image17.png"/><Relationship Id="rId1" Type="http://schemas.openxmlformats.org/officeDocument/2006/relationships/hyperlink" Target="#Men&#250;!A1"/></Relationships>
</file>

<file path=xl/drawings/_rels/drawing9.xml.rels><?xml version="1.0" encoding="UTF-8" standalone="yes"?>
<Relationships xmlns="http://schemas.openxmlformats.org/package/2006/relationships"><Relationship Id="rId8" Type="http://schemas.openxmlformats.org/officeDocument/2006/relationships/chart" Target="../charts/chart10.xml"/><Relationship Id="rId13" Type="http://schemas.openxmlformats.org/officeDocument/2006/relationships/chart" Target="../charts/chart15.xml"/><Relationship Id="rId18" Type="http://schemas.openxmlformats.org/officeDocument/2006/relationships/chart" Target="../charts/chart20.xml"/><Relationship Id="rId3" Type="http://schemas.openxmlformats.org/officeDocument/2006/relationships/chart" Target="../charts/chart5.xml"/><Relationship Id="rId21" Type="http://schemas.openxmlformats.org/officeDocument/2006/relationships/hyperlink" Target="https://pixabay.com/es/bot%C3%B3n-inicio-parada-en-fuera-pc-305751/" TargetMode="External"/><Relationship Id="rId7" Type="http://schemas.openxmlformats.org/officeDocument/2006/relationships/chart" Target="../charts/chart9.xml"/><Relationship Id="rId12" Type="http://schemas.openxmlformats.org/officeDocument/2006/relationships/chart" Target="../charts/chart14.xml"/><Relationship Id="rId17" Type="http://schemas.openxmlformats.org/officeDocument/2006/relationships/chart" Target="../charts/chart19.xml"/><Relationship Id="rId2" Type="http://schemas.openxmlformats.org/officeDocument/2006/relationships/chart" Target="../charts/chart4.xml"/><Relationship Id="rId16" Type="http://schemas.openxmlformats.org/officeDocument/2006/relationships/chart" Target="../charts/chart18.xml"/><Relationship Id="rId20" Type="http://schemas.openxmlformats.org/officeDocument/2006/relationships/image" Target="../media/image12.png"/><Relationship Id="rId1" Type="http://schemas.openxmlformats.org/officeDocument/2006/relationships/chart" Target="../charts/chart3.xml"/><Relationship Id="rId6" Type="http://schemas.openxmlformats.org/officeDocument/2006/relationships/chart" Target="../charts/chart8.xml"/><Relationship Id="rId11" Type="http://schemas.openxmlformats.org/officeDocument/2006/relationships/chart" Target="../charts/chart13.xml"/><Relationship Id="rId5" Type="http://schemas.openxmlformats.org/officeDocument/2006/relationships/chart" Target="../charts/chart7.xml"/><Relationship Id="rId15" Type="http://schemas.openxmlformats.org/officeDocument/2006/relationships/chart" Target="../charts/chart17.xml"/><Relationship Id="rId10" Type="http://schemas.openxmlformats.org/officeDocument/2006/relationships/chart" Target="../charts/chart12.xml"/><Relationship Id="rId19" Type="http://schemas.openxmlformats.org/officeDocument/2006/relationships/hyperlink" Target="#Men&#250;!A1"/><Relationship Id="rId4" Type="http://schemas.openxmlformats.org/officeDocument/2006/relationships/chart" Target="../charts/chart6.xml"/><Relationship Id="rId9" Type="http://schemas.openxmlformats.org/officeDocument/2006/relationships/chart" Target="../charts/chart11.xml"/><Relationship Id="rId1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twoCellAnchor>
    <xdr:from>
      <xdr:col>1</xdr:col>
      <xdr:colOff>647700</xdr:colOff>
      <xdr:row>1</xdr:row>
      <xdr:rowOff>0</xdr:rowOff>
    </xdr:from>
    <xdr:to>
      <xdr:col>12</xdr:col>
      <xdr:colOff>76200</xdr:colOff>
      <xdr:row>6</xdr:row>
      <xdr:rowOff>0</xdr:rowOff>
    </xdr:to>
    <xdr:sp macro="" textlink="">
      <xdr:nvSpPr>
        <xdr:cNvPr id="5" name="Rectángulo: esquinas redondeadas 4">
          <a:extLst>
            <a:ext uri="{FF2B5EF4-FFF2-40B4-BE49-F238E27FC236}">
              <a16:creationId xmlns:a16="http://schemas.microsoft.com/office/drawing/2014/main" id="{E3F42636-3B98-4D17-9769-ABE7DF872C35}"/>
            </a:ext>
          </a:extLst>
        </xdr:cNvPr>
        <xdr:cNvSpPr/>
      </xdr:nvSpPr>
      <xdr:spPr>
        <a:xfrm>
          <a:off x="1409700" y="190500"/>
          <a:ext cx="7810500" cy="9525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4800">
              <a:latin typeface="Arial Narrow" panose="020B0606020202030204" pitchFamily="34" charset="0"/>
            </a:rPr>
            <a:t>Modelo financiero Cavca Ltda</a:t>
          </a:r>
        </a:p>
      </xdr:txBody>
    </xdr:sp>
    <xdr:clientData/>
  </xdr:twoCellAnchor>
  <xdr:twoCellAnchor>
    <xdr:from>
      <xdr:col>9</xdr:col>
      <xdr:colOff>685800</xdr:colOff>
      <xdr:row>7</xdr:row>
      <xdr:rowOff>0</xdr:rowOff>
    </xdr:from>
    <xdr:to>
      <xdr:col>11</xdr:col>
      <xdr:colOff>733425</xdr:colOff>
      <xdr:row>11</xdr:row>
      <xdr:rowOff>9525</xdr:rowOff>
    </xdr:to>
    <xdr:sp macro="" textlink="">
      <xdr:nvSpPr>
        <xdr:cNvPr id="15" name="Rectángulo: esquinas redondeadas 14">
          <a:hlinkClick xmlns:r="http://schemas.openxmlformats.org/officeDocument/2006/relationships" r:id="rId1"/>
          <a:extLst>
            <a:ext uri="{FF2B5EF4-FFF2-40B4-BE49-F238E27FC236}">
              <a16:creationId xmlns:a16="http://schemas.microsoft.com/office/drawing/2014/main" id="{2DABA9C9-4691-4552-B7C4-9DE9C10274C1}"/>
            </a:ext>
          </a:extLst>
        </xdr:cNvPr>
        <xdr:cNvSpPr/>
      </xdr:nvSpPr>
      <xdr:spPr>
        <a:xfrm>
          <a:off x="7543800" y="1333500"/>
          <a:ext cx="1571625" cy="771525"/>
        </a:xfrm>
        <a:prstGeom prst="roundRect">
          <a:avLst/>
        </a:prstGeom>
        <a:solidFill>
          <a:schemeClr val="accent3">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800">
              <a:solidFill>
                <a:srgbClr val="002060"/>
              </a:solidFill>
            </a:rPr>
            <a:t>Razones financieras</a:t>
          </a:r>
        </a:p>
      </xdr:txBody>
    </xdr:sp>
    <xdr:clientData/>
  </xdr:twoCellAnchor>
  <xdr:twoCellAnchor>
    <xdr:from>
      <xdr:col>9</xdr:col>
      <xdr:colOff>685800</xdr:colOff>
      <xdr:row>12</xdr:row>
      <xdr:rowOff>0</xdr:rowOff>
    </xdr:from>
    <xdr:to>
      <xdr:col>11</xdr:col>
      <xdr:colOff>733425</xdr:colOff>
      <xdr:row>16</xdr:row>
      <xdr:rowOff>9525</xdr:rowOff>
    </xdr:to>
    <xdr:sp macro="" textlink="">
      <xdr:nvSpPr>
        <xdr:cNvPr id="16" name="Rectángulo: esquinas redondeadas 15">
          <a:hlinkClick xmlns:r="http://schemas.openxmlformats.org/officeDocument/2006/relationships" r:id="rId2"/>
          <a:extLst>
            <a:ext uri="{FF2B5EF4-FFF2-40B4-BE49-F238E27FC236}">
              <a16:creationId xmlns:a16="http://schemas.microsoft.com/office/drawing/2014/main" id="{9E61E7FB-2E14-4C34-B306-0545EF8675BB}"/>
            </a:ext>
          </a:extLst>
        </xdr:cNvPr>
        <xdr:cNvSpPr/>
      </xdr:nvSpPr>
      <xdr:spPr>
        <a:xfrm>
          <a:off x="7543800" y="2286000"/>
          <a:ext cx="1571625" cy="771525"/>
        </a:xfrm>
        <a:prstGeom prst="roundRect">
          <a:avLst/>
        </a:prstGeom>
        <a:solidFill>
          <a:schemeClr val="accent3">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800">
              <a:solidFill>
                <a:srgbClr val="002060"/>
              </a:solidFill>
            </a:rPr>
            <a:t>Gráficas</a:t>
          </a:r>
        </a:p>
      </xdr:txBody>
    </xdr:sp>
    <xdr:clientData/>
  </xdr:twoCellAnchor>
  <xdr:twoCellAnchor>
    <xdr:from>
      <xdr:col>9</xdr:col>
      <xdr:colOff>685800</xdr:colOff>
      <xdr:row>17</xdr:row>
      <xdr:rowOff>0</xdr:rowOff>
    </xdr:from>
    <xdr:to>
      <xdr:col>11</xdr:col>
      <xdr:colOff>733425</xdr:colOff>
      <xdr:row>21</xdr:row>
      <xdr:rowOff>9525</xdr:rowOff>
    </xdr:to>
    <xdr:sp macro="" textlink="">
      <xdr:nvSpPr>
        <xdr:cNvPr id="17" name="Rectángulo: esquinas redondeadas 16">
          <a:hlinkClick xmlns:r="http://schemas.openxmlformats.org/officeDocument/2006/relationships" r:id="rId3"/>
          <a:extLst>
            <a:ext uri="{FF2B5EF4-FFF2-40B4-BE49-F238E27FC236}">
              <a16:creationId xmlns:a16="http://schemas.microsoft.com/office/drawing/2014/main" id="{D9F935B4-A18A-4DED-A805-6218BFE44FE5}"/>
            </a:ext>
          </a:extLst>
        </xdr:cNvPr>
        <xdr:cNvSpPr/>
      </xdr:nvSpPr>
      <xdr:spPr>
        <a:xfrm>
          <a:off x="7543800" y="3238500"/>
          <a:ext cx="1571625" cy="771525"/>
        </a:xfrm>
        <a:prstGeom prst="roundRect">
          <a:avLst/>
        </a:prstGeom>
        <a:solidFill>
          <a:schemeClr val="accent3">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800">
              <a:solidFill>
                <a:srgbClr val="002060"/>
              </a:solidFill>
            </a:rPr>
            <a:t>Peer Group </a:t>
          </a:r>
        </a:p>
      </xdr:txBody>
    </xdr:sp>
    <xdr:clientData/>
  </xdr:twoCellAnchor>
  <xdr:twoCellAnchor>
    <xdr:from>
      <xdr:col>5</xdr:col>
      <xdr:colOff>723900</xdr:colOff>
      <xdr:row>7</xdr:row>
      <xdr:rowOff>0</xdr:rowOff>
    </xdr:from>
    <xdr:to>
      <xdr:col>8</xdr:col>
      <xdr:colOff>9525</xdr:colOff>
      <xdr:row>11</xdr:row>
      <xdr:rowOff>9525</xdr:rowOff>
    </xdr:to>
    <xdr:sp macro="" textlink="">
      <xdr:nvSpPr>
        <xdr:cNvPr id="18" name="Rectángulo: esquinas redondeadas 17">
          <a:hlinkClick xmlns:r="http://schemas.openxmlformats.org/officeDocument/2006/relationships" r:id="rId4"/>
          <a:extLst>
            <a:ext uri="{FF2B5EF4-FFF2-40B4-BE49-F238E27FC236}">
              <a16:creationId xmlns:a16="http://schemas.microsoft.com/office/drawing/2014/main" id="{82101742-6944-4A93-BE95-ED4635E554C7}"/>
            </a:ext>
          </a:extLst>
        </xdr:cNvPr>
        <xdr:cNvSpPr/>
      </xdr:nvSpPr>
      <xdr:spPr>
        <a:xfrm>
          <a:off x="4533900" y="1333500"/>
          <a:ext cx="1571625" cy="771525"/>
        </a:xfrm>
        <a:prstGeom prst="roundRect">
          <a:avLst/>
        </a:prstGeom>
        <a:solidFill>
          <a:schemeClr val="accent3">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800">
              <a:solidFill>
                <a:srgbClr val="002060"/>
              </a:solidFill>
            </a:rPr>
            <a:t>Estados FInancieros Cavca Ltda</a:t>
          </a:r>
        </a:p>
      </xdr:txBody>
    </xdr:sp>
    <xdr:clientData/>
  </xdr:twoCellAnchor>
  <xdr:twoCellAnchor>
    <xdr:from>
      <xdr:col>5</xdr:col>
      <xdr:colOff>723900</xdr:colOff>
      <xdr:row>12</xdr:row>
      <xdr:rowOff>0</xdr:rowOff>
    </xdr:from>
    <xdr:to>
      <xdr:col>8</xdr:col>
      <xdr:colOff>9525</xdr:colOff>
      <xdr:row>16</xdr:row>
      <xdr:rowOff>9525</xdr:rowOff>
    </xdr:to>
    <xdr:sp macro="" textlink="">
      <xdr:nvSpPr>
        <xdr:cNvPr id="19" name="Rectángulo: esquinas redondeadas 18">
          <a:hlinkClick xmlns:r="http://schemas.openxmlformats.org/officeDocument/2006/relationships" r:id="rId5"/>
          <a:extLst>
            <a:ext uri="{FF2B5EF4-FFF2-40B4-BE49-F238E27FC236}">
              <a16:creationId xmlns:a16="http://schemas.microsoft.com/office/drawing/2014/main" id="{80B8A0FC-7BB1-4C95-9D7C-4877CABFA10B}"/>
            </a:ext>
          </a:extLst>
        </xdr:cNvPr>
        <xdr:cNvSpPr/>
      </xdr:nvSpPr>
      <xdr:spPr>
        <a:xfrm>
          <a:off x="4533900" y="2286000"/>
          <a:ext cx="1571625" cy="771525"/>
        </a:xfrm>
        <a:prstGeom prst="roundRect">
          <a:avLst/>
        </a:prstGeom>
        <a:solidFill>
          <a:schemeClr val="accent3">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800">
              <a:solidFill>
                <a:srgbClr val="002060"/>
              </a:solidFill>
            </a:rPr>
            <a:t>Análisis Vertical </a:t>
          </a:r>
        </a:p>
      </xdr:txBody>
    </xdr:sp>
    <xdr:clientData/>
  </xdr:twoCellAnchor>
  <xdr:twoCellAnchor>
    <xdr:from>
      <xdr:col>5</xdr:col>
      <xdr:colOff>723900</xdr:colOff>
      <xdr:row>17</xdr:row>
      <xdr:rowOff>0</xdr:rowOff>
    </xdr:from>
    <xdr:to>
      <xdr:col>8</xdr:col>
      <xdr:colOff>9525</xdr:colOff>
      <xdr:row>21</xdr:row>
      <xdr:rowOff>9525</xdr:rowOff>
    </xdr:to>
    <xdr:sp macro="" textlink="">
      <xdr:nvSpPr>
        <xdr:cNvPr id="20" name="Rectángulo: esquinas redondeadas 19">
          <a:hlinkClick xmlns:r="http://schemas.openxmlformats.org/officeDocument/2006/relationships" r:id="rId6"/>
          <a:extLst>
            <a:ext uri="{FF2B5EF4-FFF2-40B4-BE49-F238E27FC236}">
              <a16:creationId xmlns:a16="http://schemas.microsoft.com/office/drawing/2014/main" id="{91412296-B809-41BC-A042-81A0683984AE}"/>
            </a:ext>
          </a:extLst>
        </xdr:cNvPr>
        <xdr:cNvSpPr/>
      </xdr:nvSpPr>
      <xdr:spPr>
        <a:xfrm>
          <a:off x="4533900" y="3238500"/>
          <a:ext cx="1571625" cy="771525"/>
        </a:xfrm>
        <a:prstGeom prst="roundRect">
          <a:avLst/>
        </a:prstGeom>
        <a:solidFill>
          <a:schemeClr val="accent3">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800">
              <a:solidFill>
                <a:srgbClr val="002060"/>
              </a:solidFill>
            </a:rPr>
            <a:t>Análisis Horizontal</a:t>
          </a:r>
        </a:p>
      </xdr:txBody>
    </xdr:sp>
    <xdr:clientData/>
  </xdr:twoCellAnchor>
  <xdr:twoCellAnchor>
    <xdr:from>
      <xdr:col>2</xdr:col>
      <xdr:colOff>19050</xdr:colOff>
      <xdr:row>6</xdr:row>
      <xdr:rowOff>161925</xdr:rowOff>
    </xdr:from>
    <xdr:to>
      <xdr:col>4</xdr:col>
      <xdr:colOff>66675</xdr:colOff>
      <xdr:row>10</xdr:row>
      <xdr:rowOff>171450</xdr:rowOff>
    </xdr:to>
    <xdr:sp macro="" textlink="">
      <xdr:nvSpPr>
        <xdr:cNvPr id="21" name="Rectángulo: esquinas redondeadas 20">
          <a:hlinkClick xmlns:r="http://schemas.openxmlformats.org/officeDocument/2006/relationships" r:id="rId7"/>
          <a:extLst>
            <a:ext uri="{FF2B5EF4-FFF2-40B4-BE49-F238E27FC236}">
              <a16:creationId xmlns:a16="http://schemas.microsoft.com/office/drawing/2014/main" id="{3CA9F73F-0DD5-4891-8E8E-FF9D6A955AE6}"/>
            </a:ext>
          </a:extLst>
        </xdr:cNvPr>
        <xdr:cNvSpPr/>
      </xdr:nvSpPr>
      <xdr:spPr>
        <a:xfrm>
          <a:off x="1543050" y="1304925"/>
          <a:ext cx="1571625" cy="771525"/>
        </a:xfrm>
        <a:prstGeom prst="roundRect">
          <a:avLst/>
        </a:prstGeom>
        <a:solidFill>
          <a:schemeClr val="accent3">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800">
              <a:solidFill>
                <a:srgbClr val="002060"/>
              </a:solidFill>
            </a:rPr>
            <a:t>Matriz DOFA</a:t>
          </a:r>
        </a:p>
      </xdr:txBody>
    </xdr:sp>
    <xdr:clientData/>
  </xdr:twoCellAnchor>
  <xdr:twoCellAnchor>
    <xdr:from>
      <xdr:col>2</xdr:col>
      <xdr:colOff>47625</xdr:colOff>
      <xdr:row>11</xdr:row>
      <xdr:rowOff>171450</xdr:rowOff>
    </xdr:from>
    <xdr:to>
      <xdr:col>4</xdr:col>
      <xdr:colOff>95250</xdr:colOff>
      <xdr:row>15</xdr:row>
      <xdr:rowOff>180975</xdr:rowOff>
    </xdr:to>
    <xdr:sp macro="" textlink="">
      <xdr:nvSpPr>
        <xdr:cNvPr id="22" name="Rectángulo: esquinas redondeadas 21">
          <a:hlinkClick xmlns:r="http://schemas.openxmlformats.org/officeDocument/2006/relationships" r:id="rId8"/>
          <a:extLst>
            <a:ext uri="{FF2B5EF4-FFF2-40B4-BE49-F238E27FC236}">
              <a16:creationId xmlns:a16="http://schemas.microsoft.com/office/drawing/2014/main" id="{240CD14A-2C78-4733-9C78-481DFB097289}"/>
            </a:ext>
          </a:extLst>
        </xdr:cNvPr>
        <xdr:cNvSpPr/>
      </xdr:nvSpPr>
      <xdr:spPr>
        <a:xfrm>
          <a:off x="1571625" y="2266950"/>
          <a:ext cx="1571625" cy="771525"/>
        </a:xfrm>
        <a:prstGeom prst="roundRect">
          <a:avLst/>
        </a:prstGeom>
        <a:solidFill>
          <a:schemeClr val="accent3">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800">
              <a:solidFill>
                <a:srgbClr val="002060"/>
              </a:solidFill>
            </a:rPr>
            <a:t>Balance score card</a:t>
          </a:r>
        </a:p>
      </xdr:txBody>
    </xdr:sp>
    <xdr:clientData/>
  </xdr:twoCellAnchor>
  <xdr:twoCellAnchor>
    <xdr:from>
      <xdr:col>2</xdr:col>
      <xdr:colOff>47625</xdr:colOff>
      <xdr:row>16</xdr:row>
      <xdr:rowOff>171450</xdr:rowOff>
    </xdr:from>
    <xdr:to>
      <xdr:col>4</xdr:col>
      <xdr:colOff>95250</xdr:colOff>
      <xdr:row>20</xdr:row>
      <xdr:rowOff>180975</xdr:rowOff>
    </xdr:to>
    <xdr:sp macro="" textlink="">
      <xdr:nvSpPr>
        <xdr:cNvPr id="23" name="Rectángulo: esquinas redondeadas 22">
          <a:hlinkClick xmlns:r="http://schemas.openxmlformats.org/officeDocument/2006/relationships" r:id="rId9"/>
          <a:extLst>
            <a:ext uri="{FF2B5EF4-FFF2-40B4-BE49-F238E27FC236}">
              <a16:creationId xmlns:a16="http://schemas.microsoft.com/office/drawing/2014/main" id="{32DBF6E5-685A-4E36-9E36-4EFE93AEAC6D}"/>
            </a:ext>
          </a:extLst>
        </xdr:cNvPr>
        <xdr:cNvSpPr/>
      </xdr:nvSpPr>
      <xdr:spPr>
        <a:xfrm>
          <a:off x="1571625" y="3219450"/>
          <a:ext cx="1571625" cy="771525"/>
        </a:xfrm>
        <a:prstGeom prst="roundRect">
          <a:avLst/>
        </a:prstGeom>
        <a:solidFill>
          <a:schemeClr val="accent3">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800">
              <a:solidFill>
                <a:srgbClr val="002060"/>
              </a:solidFill>
            </a:rPr>
            <a:t>Variables Exógenas económicas </a:t>
          </a:r>
        </a:p>
      </xdr:txBody>
    </xdr:sp>
    <xdr:clientData/>
  </xdr:twoCellAnchor>
  <xdr:twoCellAnchor editAs="oneCell">
    <xdr:from>
      <xdr:col>4</xdr:col>
      <xdr:colOff>140623</xdr:colOff>
      <xdr:row>14</xdr:row>
      <xdr:rowOff>133350</xdr:rowOff>
    </xdr:from>
    <xdr:to>
      <xdr:col>5</xdr:col>
      <xdr:colOff>712123</xdr:colOff>
      <xdr:row>21</xdr:row>
      <xdr:rowOff>133350</xdr:rowOff>
    </xdr:to>
    <xdr:pic>
      <xdr:nvPicPr>
        <xdr:cNvPr id="25" name="Gráfico 24" descr="Alarma sonando contorno">
          <a:extLst>
            <a:ext uri="{FF2B5EF4-FFF2-40B4-BE49-F238E27FC236}">
              <a16:creationId xmlns:a16="http://schemas.microsoft.com/office/drawing/2014/main" id="{EE3A3AEA-81DD-48E6-BBA4-F9EB179F6A15}"/>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3188623" y="2800350"/>
          <a:ext cx="1333500" cy="1333500"/>
        </a:xfrm>
        <a:prstGeom prst="rect">
          <a:avLst/>
        </a:prstGeom>
      </xdr:spPr>
    </xdr:pic>
    <xdr:clientData/>
  </xdr:twoCellAnchor>
  <xdr:twoCellAnchor editAs="oneCell">
    <xdr:from>
      <xdr:col>8</xdr:col>
      <xdr:colOff>61801</xdr:colOff>
      <xdr:row>7</xdr:row>
      <xdr:rowOff>171450</xdr:rowOff>
    </xdr:from>
    <xdr:to>
      <xdr:col>9</xdr:col>
      <xdr:colOff>519002</xdr:colOff>
      <xdr:row>15</xdr:row>
      <xdr:rowOff>95250</xdr:rowOff>
    </xdr:to>
    <xdr:pic>
      <xdr:nvPicPr>
        <xdr:cNvPr id="46" name="Gráfico 45" descr="Lista de comprobación con relleno sólido">
          <a:extLst>
            <a:ext uri="{FF2B5EF4-FFF2-40B4-BE49-F238E27FC236}">
              <a16:creationId xmlns:a16="http://schemas.microsoft.com/office/drawing/2014/main" id="{7DF50D69-5BCA-4486-8FD3-F8577A8AFF59}"/>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6157801" y="1504950"/>
          <a:ext cx="1219201" cy="1447800"/>
        </a:xfrm>
        <a:prstGeom prst="rect">
          <a:avLst/>
        </a:prstGeom>
      </xdr:spPr>
    </xdr:pic>
    <xdr:clientData/>
  </xdr:twoCellAnchor>
  <xdr:twoCellAnchor editAs="oneCell">
    <xdr:from>
      <xdr:col>12</xdr:col>
      <xdr:colOff>135601</xdr:colOff>
      <xdr:row>15</xdr:row>
      <xdr:rowOff>180975</xdr:rowOff>
    </xdr:from>
    <xdr:to>
      <xdr:col>13</xdr:col>
      <xdr:colOff>573751</xdr:colOff>
      <xdr:row>22</xdr:row>
      <xdr:rowOff>47625</xdr:rowOff>
    </xdr:to>
    <xdr:pic>
      <xdr:nvPicPr>
        <xdr:cNvPr id="47" name="Gráfico 46" descr="Conexiones contorno">
          <a:extLst>
            <a:ext uri="{FF2B5EF4-FFF2-40B4-BE49-F238E27FC236}">
              <a16:creationId xmlns:a16="http://schemas.microsoft.com/office/drawing/2014/main" id="{200C6F5B-7404-450D-B721-212BE0C1588A}"/>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9279601" y="3038475"/>
          <a:ext cx="1200150" cy="1200150"/>
        </a:xfrm>
        <a:prstGeom prst="rect">
          <a:avLst/>
        </a:prstGeom>
      </xdr:spPr>
    </xdr:pic>
    <xdr:clientData/>
  </xdr:twoCellAnchor>
  <xdr:twoCellAnchor editAs="oneCell">
    <xdr:from>
      <xdr:col>12</xdr:col>
      <xdr:colOff>85725</xdr:colOff>
      <xdr:row>7</xdr:row>
      <xdr:rowOff>57150</xdr:rowOff>
    </xdr:from>
    <xdr:to>
      <xdr:col>14</xdr:col>
      <xdr:colOff>123826</xdr:colOff>
      <xdr:row>15</xdr:row>
      <xdr:rowOff>95251</xdr:rowOff>
    </xdr:to>
    <xdr:pic>
      <xdr:nvPicPr>
        <xdr:cNvPr id="48" name="Gráfico 47" descr="Crecimiento empresarial con relleno sólido">
          <a:extLst>
            <a:ext uri="{FF2B5EF4-FFF2-40B4-BE49-F238E27FC236}">
              <a16:creationId xmlns:a16="http://schemas.microsoft.com/office/drawing/2014/main" id="{30E6DE88-1EFB-4936-8EF7-A15738D8B251}"/>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9229725" y="1390650"/>
          <a:ext cx="1562101" cy="1562101"/>
        </a:xfrm>
        <a:prstGeom prst="rect">
          <a:avLst/>
        </a:prstGeom>
      </xdr:spPr>
    </xdr:pic>
    <xdr:clientData/>
  </xdr:twoCellAnchor>
  <xdr:twoCellAnchor editAs="oneCell">
    <xdr:from>
      <xdr:col>4</xdr:col>
      <xdr:colOff>161925</xdr:colOff>
      <xdr:row>5</xdr:row>
      <xdr:rowOff>142875</xdr:rowOff>
    </xdr:from>
    <xdr:to>
      <xdr:col>5</xdr:col>
      <xdr:colOff>604875</xdr:colOff>
      <xdr:row>12</xdr:row>
      <xdr:rowOff>14325</xdr:rowOff>
    </xdr:to>
    <xdr:pic>
      <xdr:nvPicPr>
        <xdr:cNvPr id="49" name="Gráfico 48" descr="Badge Tick1 con relleno sólido">
          <a:extLst>
            <a:ext uri="{FF2B5EF4-FFF2-40B4-BE49-F238E27FC236}">
              <a16:creationId xmlns:a16="http://schemas.microsoft.com/office/drawing/2014/main" id="{D9531CC1-EA5B-43BE-A813-EBD3001B7DE8}"/>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3209925" y="1095375"/>
          <a:ext cx="1204950" cy="12049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12</xdr:col>
      <xdr:colOff>233361</xdr:colOff>
      <xdr:row>0</xdr:row>
      <xdr:rowOff>23811</xdr:rowOff>
    </xdr:from>
    <xdr:to>
      <xdr:col>17</xdr:col>
      <xdr:colOff>285749</xdr:colOff>
      <xdr:row>11</xdr:row>
      <xdr:rowOff>180974</xdr:rowOff>
    </xdr:to>
    <xdr:graphicFrame macro="">
      <xdr:nvGraphicFramePr>
        <xdr:cNvPr id="9" name="Gráfico 8">
          <a:extLst>
            <a:ext uri="{FF2B5EF4-FFF2-40B4-BE49-F238E27FC236}">
              <a16:creationId xmlns:a16="http://schemas.microsoft.com/office/drawing/2014/main" id="{3B8E931F-EFEC-4348-B372-F67CF76E7A7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0</xdr:row>
      <xdr:rowOff>42862</xdr:rowOff>
    </xdr:from>
    <xdr:to>
      <xdr:col>26</xdr:col>
      <xdr:colOff>238125</xdr:colOff>
      <xdr:row>11</xdr:row>
      <xdr:rowOff>152400</xdr:rowOff>
    </xdr:to>
    <xdr:graphicFrame macro="">
      <xdr:nvGraphicFramePr>
        <xdr:cNvPr id="14" name="Gráfico 13">
          <a:extLst>
            <a:ext uri="{FF2B5EF4-FFF2-40B4-BE49-F238E27FC236}">
              <a16:creationId xmlns:a16="http://schemas.microsoft.com/office/drawing/2014/main" id="{6E247B47-0ADF-40D5-9F6E-C77BA11183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361950</xdr:colOff>
      <xdr:row>0</xdr:row>
      <xdr:rowOff>33337</xdr:rowOff>
    </xdr:from>
    <xdr:to>
      <xdr:col>21</xdr:col>
      <xdr:colOff>628650</xdr:colOff>
      <xdr:row>11</xdr:row>
      <xdr:rowOff>171450</xdr:rowOff>
    </xdr:to>
    <xdr:graphicFrame macro="">
      <xdr:nvGraphicFramePr>
        <xdr:cNvPr id="15" name="Gráfico 14">
          <a:extLst>
            <a:ext uri="{FF2B5EF4-FFF2-40B4-BE49-F238E27FC236}">
              <a16:creationId xmlns:a16="http://schemas.microsoft.com/office/drawing/2014/main" id="{5C0CBCAE-6E2A-4FEA-9B64-636DB6DC10C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257174</xdr:colOff>
      <xdr:row>12</xdr:row>
      <xdr:rowOff>128586</xdr:rowOff>
    </xdr:from>
    <xdr:to>
      <xdr:col>26</xdr:col>
      <xdr:colOff>257174</xdr:colOff>
      <xdr:row>31</xdr:row>
      <xdr:rowOff>66675</xdr:rowOff>
    </xdr:to>
    <xdr:graphicFrame macro="">
      <xdr:nvGraphicFramePr>
        <xdr:cNvPr id="16" name="Gráfico 15">
          <a:extLst>
            <a:ext uri="{FF2B5EF4-FFF2-40B4-BE49-F238E27FC236}">
              <a16:creationId xmlns:a16="http://schemas.microsoft.com/office/drawing/2014/main" id="{02999DF1-F735-4C61-8B4F-60D1DB910DE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263338</xdr:colOff>
      <xdr:row>32</xdr:row>
      <xdr:rowOff>45943</xdr:rowOff>
    </xdr:from>
    <xdr:to>
      <xdr:col>17</xdr:col>
      <xdr:colOff>277092</xdr:colOff>
      <xdr:row>45</xdr:row>
      <xdr:rowOff>103909</xdr:rowOff>
    </xdr:to>
    <xdr:graphicFrame macro="">
      <xdr:nvGraphicFramePr>
        <xdr:cNvPr id="17" name="Gráfico 16">
          <a:extLst>
            <a:ext uri="{FF2B5EF4-FFF2-40B4-BE49-F238E27FC236}">
              <a16:creationId xmlns:a16="http://schemas.microsoft.com/office/drawing/2014/main" id="{9EAA85A8-03E4-49F8-A4DB-7C78A7A20DD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21</xdr:col>
      <xdr:colOff>623455</xdr:colOff>
      <xdr:row>32</xdr:row>
      <xdr:rowOff>48491</xdr:rowOff>
    </xdr:from>
    <xdr:to>
      <xdr:col>26</xdr:col>
      <xdr:colOff>242454</xdr:colOff>
      <xdr:row>45</xdr:row>
      <xdr:rowOff>103909</xdr:rowOff>
    </xdr:to>
    <xdr:graphicFrame macro="">
      <xdr:nvGraphicFramePr>
        <xdr:cNvPr id="18" name="Gráfico 17">
          <a:extLst>
            <a:ext uri="{FF2B5EF4-FFF2-40B4-BE49-F238E27FC236}">
              <a16:creationId xmlns:a16="http://schemas.microsoft.com/office/drawing/2014/main" id="{3A15A3BD-71AE-4FFF-A6E1-3C7FFACA95A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17</xdr:col>
      <xdr:colOff>346363</xdr:colOff>
      <xdr:row>32</xdr:row>
      <xdr:rowOff>48491</xdr:rowOff>
    </xdr:from>
    <xdr:to>
      <xdr:col>21</xdr:col>
      <xdr:colOff>502227</xdr:colOff>
      <xdr:row>45</xdr:row>
      <xdr:rowOff>103909</xdr:rowOff>
    </xdr:to>
    <xdr:graphicFrame macro="">
      <xdr:nvGraphicFramePr>
        <xdr:cNvPr id="19" name="Gráfico 18">
          <a:extLst>
            <a:ext uri="{FF2B5EF4-FFF2-40B4-BE49-F238E27FC236}">
              <a16:creationId xmlns:a16="http://schemas.microsoft.com/office/drawing/2014/main" id="{9F7184F4-AC12-4CAE-9C17-2B3F82E01CA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xdr:col>
      <xdr:colOff>277090</xdr:colOff>
      <xdr:row>46</xdr:row>
      <xdr:rowOff>83127</xdr:rowOff>
    </xdr:from>
    <xdr:to>
      <xdr:col>26</xdr:col>
      <xdr:colOff>207817</xdr:colOff>
      <xdr:row>66</xdr:row>
      <xdr:rowOff>138545</xdr:rowOff>
    </xdr:to>
    <xdr:graphicFrame macro="">
      <xdr:nvGraphicFramePr>
        <xdr:cNvPr id="20" name="Gráfico 19">
          <a:extLst>
            <a:ext uri="{FF2B5EF4-FFF2-40B4-BE49-F238E27FC236}">
              <a16:creationId xmlns:a16="http://schemas.microsoft.com/office/drawing/2014/main" id="{AF3A265C-E6FC-416A-B9B4-F623969AFEA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277089</xdr:colOff>
      <xdr:row>67</xdr:row>
      <xdr:rowOff>135080</xdr:rowOff>
    </xdr:from>
    <xdr:to>
      <xdr:col>17</xdr:col>
      <xdr:colOff>519544</xdr:colOff>
      <xdr:row>81</xdr:row>
      <xdr:rowOff>17317</xdr:rowOff>
    </xdr:to>
    <xdr:graphicFrame macro="">
      <xdr:nvGraphicFramePr>
        <xdr:cNvPr id="21" name="Gráfico 20">
          <a:extLst>
            <a:ext uri="{FF2B5EF4-FFF2-40B4-BE49-F238E27FC236}">
              <a16:creationId xmlns:a16="http://schemas.microsoft.com/office/drawing/2014/main" id="{9F4DD618-0ABD-43A5-A12A-A111ED43AB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17</xdr:col>
      <xdr:colOff>606136</xdr:colOff>
      <xdr:row>67</xdr:row>
      <xdr:rowOff>135081</xdr:rowOff>
    </xdr:from>
    <xdr:to>
      <xdr:col>22</xdr:col>
      <xdr:colOff>138546</xdr:colOff>
      <xdr:row>81</xdr:row>
      <xdr:rowOff>51954</xdr:rowOff>
    </xdr:to>
    <xdr:graphicFrame macro="">
      <xdr:nvGraphicFramePr>
        <xdr:cNvPr id="22" name="Gráfico 21">
          <a:extLst>
            <a:ext uri="{FF2B5EF4-FFF2-40B4-BE49-F238E27FC236}">
              <a16:creationId xmlns:a16="http://schemas.microsoft.com/office/drawing/2014/main" id="{4B2BD0EE-9F8C-46FC-8481-F1BE517D71F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22</xdr:col>
      <xdr:colOff>207817</xdr:colOff>
      <xdr:row>67</xdr:row>
      <xdr:rowOff>152399</xdr:rowOff>
    </xdr:from>
    <xdr:to>
      <xdr:col>26</xdr:col>
      <xdr:colOff>346363</xdr:colOff>
      <xdr:row>81</xdr:row>
      <xdr:rowOff>51954</xdr:rowOff>
    </xdr:to>
    <xdr:graphicFrame macro="">
      <xdr:nvGraphicFramePr>
        <xdr:cNvPr id="23" name="Gráfico 22">
          <a:extLst>
            <a:ext uri="{FF2B5EF4-FFF2-40B4-BE49-F238E27FC236}">
              <a16:creationId xmlns:a16="http://schemas.microsoft.com/office/drawing/2014/main" id="{911793E0-E28B-409A-B863-5EF1974219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12</xdr:col>
      <xdr:colOff>277089</xdr:colOff>
      <xdr:row>81</xdr:row>
      <xdr:rowOff>117762</xdr:rowOff>
    </xdr:from>
    <xdr:to>
      <xdr:col>26</xdr:col>
      <xdr:colOff>346362</xdr:colOff>
      <xdr:row>102</xdr:row>
      <xdr:rowOff>173181</xdr:rowOff>
    </xdr:to>
    <xdr:graphicFrame macro="">
      <xdr:nvGraphicFramePr>
        <xdr:cNvPr id="24" name="Gráfico 23">
          <a:extLst>
            <a:ext uri="{FF2B5EF4-FFF2-40B4-BE49-F238E27FC236}">
              <a16:creationId xmlns:a16="http://schemas.microsoft.com/office/drawing/2014/main" id="{FAD33A0F-63BF-4FD4-9AF4-E516AE92023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1</xdr:col>
      <xdr:colOff>1</xdr:colOff>
      <xdr:row>14</xdr:row>
      <xdr:rowOff>0</xdr:rowOff>
    </xdr:from>
    <xdr:to>
      <xdr:col>1</xdr:col>
      <xdr:colOff>495301</xdr:colOff>
      <xdr:row>16</xdr:row>
      <xdr:rowOff>165957</xdr:rowOff>
    </xdr:to>
    <xdr:pic>
      <xdr:nvPicPr>
        <xdr:cNvPr id="25" name="Imagen 24">
          <a:hlinkClick xmlns:r="http://schemas.openxmlformats.org/officeDocument/2006/relationships" r:id="rId13"/>
          <a:extLst>
            <a:ext uri="{FF2B5EF4-FFF2-40B4-BE49-F238E27FC236}">
              <a16:creationId xmlns:a16="http://schemas.microsoft.com/office/drawing/2014/main" id="{FB8CEAC9-890B-4A75-9A55-A8A4B202BD2E}"/>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 uri="{837473B0-CC2E-450A-ABE3-18F120FF3D39}">
              <a1611:picAttrSrcUrl xmlns:a1611="http://schemas.microsoft.com/office/drawing/2016/11/main" r:id="rId15"/>
            </a:ext>
          </a:extLst>
        </a:blip>
        <a:stretch>
          <a:fillRect/>
        </a:stretch>
      </xdr:blipFill>
      <xdr:spPr>
        <a:xfrm>
          <a:off x="762001" y="2686050"/>
          <a:ext cx="495300" cy="54695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0</xdr:col>
      <xdr:colOff>68822</xdr:colOff>
      <xdr:row>0</xdr:row>
      <xdr:rowOff>23546</xdr:rowOff>
    </xdr:from>
    <xdr:ext cx="5724525" cy="0"/>
    <xdr:sp macro="" textlink="">
      <xdr:nvSpPr>
        <xdr:cNvPr id="2" name="Shape 10">
          <a:extLst>
            <a:ext uri="{FF2B5EF4-FFF2-40B4-BE49-F238E27FC236}">
              <a16:creationId xmlns:a16="http://schemas.microsoft.com/office/drawing/2014/main" id="{0D074A66-D9BD-4110-A67C-4C56E4521D1F}"/>
            </a:ext>
          </a:extLst>
        </xdr:cNvPr>
        <xdr:cNvSpPr/>
      </xdr:nvSpPr>
      <xdr:spPr>
        <a:xfrm>
          <a:off x="68822" y="23546"/>
          <a:ext cx="5724525" cy="0"/>
        </a:xfrm>
        <a:custGeom>
          <a:avLst/>
          <a:gdLst/>
          <a:ahLst/>
          <a:cxnLst/>
          <a:rect l="0" t="0" r="0" b="0"/>
          <a:pathLst>
            <a:path w="5724525">
              <a:moveTo>
                <a:pt x="0" y="0"/>
              </a:moveTo>
              <a:lnTo>
                <a:pt x="5724004" y="0"/>
              </a:lnTo>
            </a:path>
          </a:pathLst>
        </a:custGeom>
        <a:ln w="3175">
          <a:solidFill>
            <a:srgbClr val="231F20"/>
          </a:solidFill>
        </a:ln>
      </xdr:spPr>
    </xdr:sp>
    <xdr:clientData/>
  </xdr:oneCellAnchor>
</xdr:wsDr>
</file>

<file path=xl/drawings/drawing12.xml><?xml version="1.0" encoding="utf-8"?>
<xdr:wsDr xmlns:xdr="http://schemas.openxmlformats.org/drawingml/2006/spreadsheetDrawing" xmlns:a="http://schemas.openxmlformats.org/drawingml/2006/main">
  <xdr:twoCellAnchor editAs="oneCell">
    <xdr:from>
      <xdr:col>8</xdr:col>
      <xdr:colOff>352425</xdr:colOff>
      <xdr:row>28</xdr:row>
      <xdr:rowOff>57150</xdr:rowOff>
    </xdr:from>
    <xdr:to>
      <xdr:col>10</xdr:col>
      <xdr:colOff>9525</xdr:colOff>
      <xdr:row>38</xdr:row>
      <xdr:rowOff>137541</xdr:rowOff>
    </xdr:to>
    <xdr:pic>
      <xdr:nvPicPr>
        <xdr:cNvPr id="2" name="Imagen 1">
          <a:extLst>
            <a:ext uri="{FF2B5EF4-FFF2-40B4-BE49-F238E27FC236}">
              <a16:creationId xmlns:a16="http://schemas.microsoft.com/office/drawing/2014/main" id="{B6DC36E9-024A-49AC-AED6-38D6926FA35C}"/>
            </a:ext>
          </a:extLst>
        </xdr:cNvPr>
        <xdr:cNvPicPr>
          <a:picLocks noChangeAspect="1"/>
        </xdr:cNvPicPr>
      </xdr:nvPicPr>
      <xdr:blipFill rotWithShape="1">
        <a:blip xmlns:r="http://schemas.openxmlformats.org/officeDocument/2006/relationships" r:embed="rId1"/>
        <a:srcRect l="21252" t="33493" r="44021" b="17431"/>
        <a:stretch/>
      </xdr:blipFill>
      <xdr:spPr>
        <a:xfrm>
          <a:off x="5276850" y="5705475"/>
          <a:ext cx="2476500" cy="2090166"/>
        </a:xfrm>
        <a:prstGeom prst="rect">
          <a:avLst/>
        </a:prstGeom>
      </xdr:spPr>
    </xdr:pic>
    <xdr:clientData/>
  </xdr:twoCellAnchor>
  <xdr:twoCellAnchor editAs="oneCell">
    <xdr:from>
      <xdr:col>8</xdr:col>
      <xdr:colOff>352425</xdr:colOff>
      <xdr:row>38</xdr:row>
      <xdr:rowOff>190500</xdr:rowOff>
    </xdr:from>
    <xdr:to>
      <xdr:col>9</xdr:col>
      <xdr:colOff>1524000</xdr:colOff>
      <xdr:row>47</xdr:row>
      <xdr:rowOff>47625</xdr:rowOff>
    </xdr:to>
    <xdr:pic>
      <xdr:nvPicPr>
        <xdr:cNvPr id="3" name="Imagen 2">
          <a:extLst>
            <a:ext uri="{FF2B5EF4-FFF2-40B4-BE49-F238E27FC236}">
              <a16:creationId xmlns:a16="http://schemas.microsoft.com/office/drawing/2014/main" id="{F04B87E7-25C7-4C9B-8AB1-3509BBC4C1F1}"/>
            </a:ext>
          </a:extLst>
        </xdr:cNvPr>
        <xdr:cNvPicPr>
          <a:picLocks noChangeAspect="1"/>
        </xdr:cNvPicPr>
      </xdr:nvPicPr>
      <xdr:blipFill rotWithShape="1">
        <a:blip xmlns:r="http://schemas.openxmlformats.org/officeDocument/2006/relationships" r:embed="rId2"/>
        <a:srcRect l="48617" t="70707" r="39923" b="9059"/>
        <a:stretch/>
      </xdr:blipFill>
      <xdr:spPr>
        <a:xfrm>
          <a:off x="5276850" y="7848600"/>
          <a:ext cx="1571625" cy="1657350"/>
        </a:xfrm>
        <a:prstGeom prst="rect">
          <a:avLst/>
        </a:prstGeom>
      </xdr:spPr>
    </xdr:pic>
    <xdr:clientData/>
  </xdr:twoCellAnchor>
  <xdr:twoCellAnchor editAs="oneCell">
    <xdr:from>
      <xdr:col>9</xdr:col>
      <xdr:colOff>9525</xdr:colOff>
      <xdr:row>49</xdr:row>
      <xdr:rowOff>28575</xdr:rowOff>
    </xdr:from>
    <xdr:to>
      <xdr:col>16</xdr:col>
      <xdr:colOff>17767</xdr:colOff>
      <xdr:row>73</xdr:row>
      <xdr:rowOff>76200</xdr:rowOff>
    </xdr:to>
    <xdr:pic>
      <xdr:nvPicPr>
        <xdr:cNvPr id="4" name="Imagen 3">
          <a:extLst>
            <a:ext uri="{FF2B5EF4-FFF2-40B4-BE49-F238E27FC236}">
              <a16:creationId xmlns:a16="http://schemas.microsoft.com/office/drawing/2014/main" id="{886892AD-5C10-4C46-AEF8-095D5A97AF4E}"/>
            </a:ext>
          </a:extLst>
        </xdr:cNvPr>
        <xdr:cNvPicPr>
          <a:picLocks noChangeAspect="1"/>
        </xdr:cNvPicPr>
      </xdr:nvPicPr>
      <xdr:blipFill rotWithShape="1">
        <a:blip xmlns:r="http://schemas.openxmlformats.org/officeDocument/2006/relationships" r:embed="rId3"/>
        <a:srcRect l="14933" t="14653" r="36659"/>
        <a:stretch/>
      </xdr:blipFill>
      <xdr:spPr>
        <a:xfrm>
          <a:off x="5334000" y="9896475"/>
          <a:ext cx="4523092" cy="4762500"/>
        </a:xfrm>
        <a:prstGeom prst="rect">
          <a:avLst/>
        </a:prstGeom>
      </xdr:spPr>
    </xdr:pic>
    <xdr:clientData/>
  </xdr:twoCellAnchor>
  <xdr:twoCellAnchor editAs="oneCell">
    <xdr:from>
      <xdr:col>17</xdr:col>
      <xdr:colOff>428625</xdr:colOff>
      <xdr:row>45</xdr:row>
      <xdr:rowOff>0</xdr:rowOff>
    </xdr:from>
    <xdr:to>
      <xdr:col>35</xdr:col>
      <xdr:colOff>426911</xdr:colOff>
      <xdr:row>86</xdr:row>
      <xdr:rowOff>179951</xdr:rowOff>
    </xdr:to>
    <xdr:pic>
      <xdr:nvPicPr>
        <xdr:cNvPr id="5" name="Imagen 4">
          <a:extLst>
            <a:ext uri="{FF2B5EF4-FFF2-40B4-BE49-F238E27FC236}">
              <a16:creationId xmlns:a16="http://schemas.microsoft.com/office/drawing/2014/main" id="{286A6A79-6E03-4C09-887F-7AF1630F8741}"/>
            </a:ext>
          </a:extLst>
        </xdr:cNvPr>
        <xdr:cNvPicPr>
          <a:picLocks noChangeAspect="1"/>
        </xdr:cNvPicPr>
      </xdr:nvPicPr>
      <xdr:blipFill>
        <a:blip xmlns:r="http://schemas.openxmlformats.org/officeDocument/2006/relationships" r:embed="rId4"/>
        <a:stretch>
          <a:fillRect/>
        </a:stretch>
      </xdr:blipFill>
      <xdr:spPr>
        <a:xfrm>
          <a:off x="11029950" y="9048750"/>
          <a:ext cx="13714286" cy="81904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2066924</xdr:colOff>
      <xdr:row>0</xdr:row>
      <xdr:rowOff>66675</xdr:rowOff>
    </xdr:from>
    <xdr:to>
      <xdr:col>1</xdr:col>
      <xdr:colOff>3228975</xdr:colOff>
      <xdr:row>1</xdr:row>
      <xdr:rowOff>311896</xdr:rowOff>
    </xdr:to>
    <xdr:pic>
      <xdr:nvPicPr>
        <xdr:cNvPr id="2" name="5 Imagen" descr="▷ Oferta de empleo en Cavca Ltda | Bolsa de trabajo Colombia">
          <a:extLst>
            <a:ext uri="{FF2B5EF4-FFF2-40B4-BE49-F238E27FC236}">
              <a16:creationId xmlns:a16="http://schemas.microsoft.com/office/drawing/2014/main" id="{FE416F67-8DE1-4E3B-9875-D9DE84C5A9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29299" y="66675"/>
          <a:ext cx="1162051" cy="4357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xdr:row>
      <xdr:rowOff>0</xdr:rowOff>
    </xdr:from>
    <xdr:to>
      <xdr:col>3</xdr:col>
      <xdr:colOff>600075</xdr:colOff>
      <xdr:row>2</xdr:row>
      <xdr:rowOff>315277</xdr:rowOff>
    </xdr:to>
    <xdr:pic>
      <xdr:nvPicPr>
        <xdr:cNvPr id="4" name="Imagen 3">
          <a:hlinkClick xmlns:r="http://schemas.openxmlformats.org/officeDocument/2006/relationships" r:id="rId2"/>
          <a:extLst>
            <a:ext uri="{FF2B5EF4-FFF2-40B4-BE49-F238E27FC236}">
              <a16:creationId xmlns:a16="http://schemas.microsoft.com/office/drawing/2014/main" id="{15D67F63-6548-44EB-B615-2266E79C4FC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837473B0-CC2E-450A-ABE3-18F120FF3D39}">
              <a1611:picAttrSrcUrl xmlns:a1611="http://schemas.microsoft.com/office/drawing/2016/11/main" r:id="rId4"/>
            </a:ext>
          </a:extLst>
        </a:blip>
        <a:stretch>
          <a:fillRect/>
        </a:stretch>
      </xdr:blipFill>
      <xdr:spPr>
        <a:xfrm>
          <a:off x="8090647" y="190500"/>
          <a:ext cx="600075" cy="6626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1821264</xdr:colOff>
      <xdr:row>5</xdr:row>
      <xdr:rowOff>10467</xdr:rowOff>
    </xdr:from>
    <xdr:to>
      <xdr:col>3</xdr:col>
      <xdr:colOff>1822450</xdr:colOff>
      <xdr:row>6</xdr:row>
      <xdr:rowOff>342901</xdr:rowOff>
    </xdr:to>
    <xdr:cxnSp macro="">
      <xdr:nvCxnSpPr>
        <xdr:cNvPr id="2" name="Conector recto de flecha 1">
          <a:extLst>
            <a:ext uri="{FF2B5EF4-FFF2-40B4-BE49-F238E27FC236}">
              <a16:creationId xmlns:a16="http://schemas.microsoft.com/office/drawing/2014/main" id="{6B96F246-82BD-440F-97A6-F53B97AF2878}"/>
            </a:ext>
          </a:extLst>
        </xdr:cNvPr>
        <xdr:cNvCxnSpPr/>
      </xdr:nvCxnSpPr>
      <xdr:spPr>
        <a:xfrm flipH="1" flipV="1">
          <a:off x="6374214" y="1791642"/>
          <a:ext cx="1186" cy="684859"/>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0</xdr:col>
      <xdr:colOff>1884066</xdr:colOff>
      <xdr:row>2</xdr:row>
      <xdr:rowOff>345412</xdr:rowOff>
    </xdr:from>
    <xdr:to>
      <xdr:col>3</xdr:col>
      <xdr:colOff>0</xdr:colOff>
      <xdr:row>5</xdr:row>
      <xdr:rowOff>0</xdr:rowOff>
    </xdr:to>
    <xdr:cxnSp macro="">
      <xdr:nvCxnSpPr>
        <xdr:cNvPr id="3" name="Conector recto de flecha 2">
          <a:extLst>
            <a:ext uri="{FF2B5EF4-FFF2-40B4-BE49-F238E27FC236}">
              <a16:creationId xmlns:a16="http://schemas.microsoft.com/office/drawing/2014/main" id="{8CF8F3F8-896D-4C91-A75A-A7D578CAB7E4}"/>
            </a:ext>
          </a:extLst>
        </xdr:cNvPr>
        <xdr:cNvCxnSpPr/>
      </xdr:nvCxnSpPr>
      <xdr:spPr>
        <a:xfrm flipV="1">
          <a:off x="1884066" y="1069312"/>
          <a:ext cx="2668884" cy="711863"/>
        </a:xfrm>
        <a:prstGeom prst="straightConnector1">
          <a:avLst/>
        </a:prstGeom>
        <a:ln>
          <a:headEnd type="triangle"/>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5</xdr:col>
      <xdr:colOff>20935</xdr:colOff>
      <xdr:row>2</xdr:row>
      <xdr:rowOff>345412</xdr:rowOff>
    </xdr:from>
    <xdr:to>
      <xdr:col>7</xdr:col>
      <xdr:colOff>31401</xdr:colOff>
      <xdr:row>5</xdr:row>
      <xdr:rowOff>0</xdr:rowOff>
    </xdr:to>
    <xdr:cxnSp macro="">
      <xdr:nvCxnSpPr>
        <xdr:cNvPr id="4" name="Conector recto de flecha 3">
          <a:extLst>
            <a:ext uri="{FF2B5EF4-FFF2-40B4-BE49-F238E27FC236}">
              <a16:creationId xmlns:a16="http://schemas.microsoft.com/office/drawing/2014/main" id="{A8CDD9BA-9E14-419D-A9D2-39CB8AB74B53}"/>
            </a:ext>
          </a:extLst>
        </xdr:cNvPr>
        <xdr:cNvCxnSpPr/>
      </xdr:nvCxnSpPr>
      <xdr:spPr>
        <a:xfrm>
          <a:off x="8431510" y="1069312"/>
          <a:ext cx="2601266" cy="711863"/>
        </a:xfrm>
        <a:prstGeom prst="straightConnector1">
          <a:avLst/>
        </a:prstGeom>
        <a:ln>
          <a:headEnd type="triangle"/>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5</xdr:col>
      <xdr:colOff>31401</xdr:colOff>
      <xdr:row>11</xdr:row>
      <xdr:rowOff>20934</xdr:rowOff>
    </xdr:from>
    <xdr:to>
      <xdr:col>7</xdr:col>
      <xdr:colOff>0</xdr:colOff>
      <xdr:row>14</xdr:row>
      <xdr:rowOff>0</xdr:rowOff>
    </xdr:to>
    <xdr:cxnSp macro="">
      <xdr:nvCxnSpPr>
        <xdr:cNvPr id="5" name="Conector recto de flecha 4">
          <a:extLst>
            <a:ext uri="{FF2B5EF4-FFF2-40B4-BE49-F238E27FC236}">
              <a16:creationId xmlns:a16="http://schemas.microsoft.com/office/drawing/2014/main" id="{EE1F2211-1324-496D-8B35-FA90E188C50B}"/>
            </a:ext>
          </a:extLst>
        </xdr:cNvPr>
        <xdr:cNvCxnSpPr/>
      </xdr:nvCxnSpPr>
      <xdr:spPr>
        <a:xfrm flipV="1">
          <a:off x="8441976" y="5269209"/>
          <a:ext cx="2559399" cy="1455441"/>
        </a:xfrm>
        <a:prstGeom prst="straightConnector1">
          <a:avLst/>
        </a:prstGeom>
        <a:ln>
          <a:headEnd type="triangle"/>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20934</xdr:colOff>
      <xdr:row>9</xdr:row>
      <xdr:rowOff>10467</xdr:rowOff>
    </xdr:from>
    <xdr:to>
      <xdr:col>2</xdr:col>
      <xdr:colOff>722225</xdr:colOff>
      <xdr:row>14</xdr:row>
      <xdr:rowOff>10467</xdr:rowOff>
    </xdr:to>
    <xdr:cxnSp macro="">
      <xdr:nvCxnSpPr>
        <xdr:cNvPr id="6" name="Conector recto de flecha 5">
          <a:extLst>
            <a:ext uri="{FF2B5EF4-FFF2-40B4-BE49-F238E27FC236}">
              <a16:creationId xmlns:a16="http://schemas.microsoft.com/office/drawing/2014/main" id="{06E57594-F5DE-4D06-90C7-6A560C31B7AC}"/>
            </a:ext>
          </a:extLst>
        </xdr:cNvPr>
        <xdr:cNvCxnSpPr/>
      </xdr:nvCxnSpPr>
      <xdr:spPr>
        <a:xfrm>
          <a:off x="1916409" y="3687117"/>
          <a:ext cx="2596766" cy="3048000"/>
        </a:xfrm>
        <a:prstGeom prst="straightConnector1">
          <a:avLst/>
        </a:prstGeom>
        <a:ln>
          <a:headEnd type="triangle"/>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xdr:col>
      <xdr:colOff>20934</xdr:colOff>
      <xdr:row>8</xdr:row>
      <xdr:rowOff>198874</xdr:rowOff>
    </xdr:from>
    <xdr:to>
      <xdr:col>3</xdr:col>
      <xdr:colOff>0</xdr:colOff>
      <xdr:row>8</xdr:row>
      <xdr:rowOff>198875</xdr:rowOff>
    </xdr:to>
    <xdr:cxnSp macro="">
      <xdr:nvCxnSpPr>
        <xdr:cNvPr id="7" name="Conector recto de flecha 6">
          <a:extLst>
            <a:ext uri="{FF2B5EF4-FFF2-40B4-BE49-F238E27FC236}">
              <a16:creationId xmlns:a16="http://schemas.microsoft.com/office/drawing/2014/main" id="{0F4A663C-00B2-4A8E-A43F-865CC5A832C4}"/>
            </a:ext>
          </a:extLst>
        </xdr:cNvPr>
        <xdr:cNvCxnSpPr/>
      </xdr:nvCxnSpPr>
      <xdr:spPr>
        <a:xfrm flipH="1">
          <a:off x="3811884" y="3304024"/>
          <a:ext cx="741066" cy="1"/>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4</xdr:col>
      <xdr:colOff>0</xdr:colOff>
      <xdr:row>10</xdr:row>
      <xdr:rowOff>20934</xdr:rowOff>
    </xdr:from>
    <xdr:to>
      <xdr:col>4</xdr:col>
      <xdr:colOff>0</xdr:colOff>
      <xdr:row>10</xdr:row>
      <xdr:rowOff>638489</xdr:rowOff>
    </xdr:to>
    <xdr:cxnSp macro="">
      <xdr:nvCxnSpPr>
        <xdr:cNvPr id="8" name="Conector recto de flecha 7">
          <a:extLst>
            <a:ext uri="{FF2B5EF4-FFF2-40B4-BE49-F238E27FC236}">
              <a16:creationId xmlns:a16="http://schemas.microsoft.com/office/drawing/2014/main" id="{68628B7D-C4E8-4266-822E-90A0F1752D18}"/>
            </a:ext>
          </a:extLst>
        </xdr:cNvPr>
        <xdr:cNvCxnSpPr/>
      </xdr:nvCxnSpPr>
      <xdr:spPr>
        <a:xfrm>
          <a:off x="6381750" y="4611984"/>
          <a:ext cx="0" cy="617555"/>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5</xdr:col>
      <xdr:colOff>10468</xdr:colOff>
      <xdr:row>8</xdr:row>
      <xdr:rowOff>177940</xdr:rowOff>
    </xdr:from>
    <xdr:to>
      <xdr:col>5</xdr:col>
      <xdr:colOff>743160</xdr:colOff>
      <xdr:row>8</xdr:row>
      <xdr:rowOff>177940</xdr:rowOff>
    </xdr:to>
    <xdr:cxnSp macro="">
      <xdr:nvCxnSpPr>
        <xdr:cNvPr id="9" name="Conector recto de flecha 8">
          <a:extLst>
            <a:ext uri="{FF2B5EF4-FFF2-40B4-BE49-F238E27FC236}">
              <a16:creationId xmlns:a16="http://schemas.microsoft.com/office/drawing/2014/main" id="{1CC93BFD-DF18-4FB8-A3D8-C5924BB4DCF1}"/>
            </a:ext>
          </a:extLst>
        </xdr:cNvPr>
        <xdr:cNvCxnSpPr/>
      </xdr:nvCxnSpPr>
      <xdr:spPr>
        <a:xfrm>
          <a:off x="8421043" y="3283090"/>
          <a:ext cx="732692"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0</xdr:colOff>
      <xdr:row>0</xdr:row>
      <xdr:rowOff>0</xdr:rowOff>
    </xdr:from>
    <xdr:to>
      <xdr:col>6</xdr:col>
      <xdr:colOff>600075</xdr:colOff>
      <xdr:row>1</xdr:row>
      <xdr:rowOff>296313</xdr:rowOff>
    </xdr:to>
    <xdr:pic>
      <xdr:nvPicPr>
        <xdr:cNvPr id="10" name="Imagen 9">
          <a:hlinkClick xmlns:r="http://schemas.openxmlformats.org/officeDocument/2006/relationships" r:id="rId1"/>
          <a:extLst>
            <a:ext uri="{FF2B5EF4-FFF2-40B4-BE49-F238E27FC236}">
              <a16:creationId xmlns:a16="http://schemas.microsoft.com/office/drawing/2014/main" id="{BE0C7D34-D38B-4C05-A533-3AE18701C01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837473B0-CC2E-450A-ABE3-18F120FF3D39}">
              <a1611:picAttrSrcUrl xmlns:a1611="http://schemas.microsoft.com/office/drawing/2016/11/main" r:id="rId3"/>
            </a:ext>
          </a:extLst>
        </a:blip>
        <a:stretch>
          <a:fillRect/>
        </a:stretch>
      </xdr:blipFill>
      <xdr:spPr>
        <a:xfrm>
          <a:off x="9179588" y="0"/>
          <a:ext cx="600075" cy="6626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352425</xdr:colOff>
      <xdr:row>0</xdr:row>
      <xdr:rowOff>0</xdr:rowOff>
    </xdr:from>
    <xdr:to>
      <xdr:col>9</xdr:col>
      <xdr:colOff>2086536</xdr:colOff>
      <xdr:row>4</xdr:row>
      <xdr:rowOff>85725</xdr:rowOff>
    </xdr:to>
    <xdr:pic>
      <xdr:nvPicPr>
        <xdr:cNvPr id="2" name="1 Imagen" descr="▷ Oferta de empleo en Cavca Ltda | Bolsa de trabajo Colombia">
          <a:extLst>
            <a:ext uri="{FF2B5EF4-FFF2-40B4-BE49-F238E27FC236}">
              <a16:creationId xmlns:a16="http://schemas.microsoft.com/office/drawing/2014/main" id="{00000000-0008-0000-0100-00007A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62900" y="0"/>
          <a:ext cx="2238936"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313765</xdr:colOff>
      <xdr:row>4</xdr:row>
      <xdr:rowOff>89647</xdr:rowOff>
    </xdr:from>
    <xdr:to>
      <xdr:col>9</xdr:col>
      <xdr:colOff>913840</xdr:colOff>
      <xdr:row>7</xdr:row>
      <xdr:rowOff>169600</xdr:rowOff>
    </xdr:to>
    <xdr:pic>
      <xdr:nvPicPr>
        <xdr:cNvPr id="3" name="Imagen 2">
          <a:hlinkClick xmlns:r="http://schemas.openxmlformats.org/officeDocument/2006/relationships" r:id="rId2"/>
          <a:extLst>
            <a:ext uri="{FF2B5EF4-FFF2-40B4-BE49-F238E27FC236}">
              <a16:creationId xmlns:a16="http://schemas.microsoft.com/office/drawing/2014/main" id="{EA9919B7-A309-4CF2-9DC3-F4820D556B1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837473B0-CC2E-450A-ABE3-18F120FF3D39}">
              <a1611:picAttrSrcUrl xmlns:a1611="http://schemas.microsoft.com/office/drawing/2016/11/main" r:id="rId4"/>
            </a:ext>
          </a:extLst>
        </a:blip>
        <a:stretch>
          <a:fillRect/>
        </a:stretch>
      </xdr:blipFill>
      <xdr:spPr>
        <a:xfrm>
          <a:off x="8460441" y="851647"/>
          <a:ext cx="600075" cy="66265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18</xdr:col>
      <xdr:colOff>1</xdr:colOff>
      <xdr:row>3</xdr:row>
      <xdr:rowOff>0</xdr:rowOff>
    </xdr:from>
    <xdr:to>
      <xdr:col>18</xdr:col>
      <xdr:colOff>495301</xdr:colOff>
      <xdr:row>5</xdr:row>
      <xdr:rowOff>137382</xdr:rowOff>
    </xdr:to>
    <xdr:pic>
      <xdr:nvPicPr>
        <xdr:cNvPr id="2" name="Imagen 1">
          <a:hlinkClick xmlns:r="http://schemas.openxmlformats.org/officeDocument/2006/relationships" r:id="rId1"/>
          <a:extLst>
            <a:ext uri="{FF2B5EF4-FFF2-40B4-BE49-F238E27FC236}">
              <a16:creationId xmlns:a16="http://schemas.microsoft.com/office/drawing/2014/main" id="{A247A198-1026-49A6-BE97-74C000339AD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837473B0-CC2E-450A-ABE3-18F120FF3D39}">
              <a1611:picAttrSrcUrl xmlns:a1611="http://schemas.microsoft.com/office/drawing/2016/11/main" r:id="rId3"/>
            </a:ext>
          </a:extLst>
        </a:blip>
        <a:stretch>
          <a:fillRect/>
        </a:stretch>
      </xdr:blipFill>
      <xdr:spPr>
        <a:xfrm>
          <a:off x="11268076" y="657225"/>
          <a:ext cx="495300" cy="54695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28</xdr:col>
      <xdr:colOff>238125</xdr:colOff>
      <xdr:row>0</xdr:row>
      <xdr:rowOff>66675</xdr:rowOff>
    </xdr:from>
    <xdr:to>
      <xdr:col>28</xdr:col>
      <xdr:colOff>742950</xdr:colOff>
      <xdr:row>2</xdr:row>
      <xdr:rowOff>195525</xdr:rowOff>
    </xdr:to>
    <xdr:pic>
      <xdr:nvPicPr>
        <xdr:cNvPr id="2" name="Imagen 1">
          <a:hlinkClick xmlns:r="http://schemas.openxmlformats.org/officeDocument/2006/relationships" r:id="rId1"/>
          <a:extLst>
            <a:ext uri="{FF2B5EF4-FFF2-40B4-BE49-F238E27FC236}">
              <a16:creationId xmlns:a16="http://schemas.microsoft.com/office/drawing/2014/main" id="{1B99C7F7-4F79-414C-8BB0-B635D7AFA70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837473B0-CC2E-450A-ABE3-18F120FF3D39}">
              <a1611:picAttrSrcUrl xmlns:a1611="http://schemas.microsoft.com/office/drawing/2016/11/main" r:id="rId3"/>
            </a:ext>
          </a:extLst>
        </a:blip>
        <a:stretch>
          <a:fillRect/>
        </a:stretch>
      </xdr:blipFill>
      <xdr:spPr>
        <a:xfrm>
          <a:off x="18240375" y="66675"/>
          <a:ext cx="504825" cy="5574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52</xdr:row>
      <xdr:rowOff>23811</xdr:rowOff>
    </xdr:from>
    <xdr:to>
      <xdr:col>13</xdr:col>
      <xdr:colOff>123825</xdr:colOff>
      <xdr:row>72</xdr:row>
      <xdr:rowOff>95250</xdr:rowOff>
    </xdr:to>
    <xdr:graphicFrame macro="">
      <xdr:nvGraphicFramePr>
        <xdr:cNvPr id="3" name="Gráfico 2">
          <a:extLst>
            <a:ext uri="{FF2B5EF4-FFF2-40B4-BE49-F238E27FC236}">
              <a16:creationId xmlns:a16="http://schemas.microsoft.com/office/drawing/2014/main" id="{116A91CD-9BBF-4D67-BC1C-F65A61D9E40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38100</xdr:colOff>
      <xdr:row>83</xdr:row>
      <xdr:rowOff>9524</xdr:rowOff>
    </xdr:from>
    <xdr:to>
      <xdr:col>14</xdr:col>
      <xdr:colOff>485775</xdr:colOff>
      <xdr:row>102</xdr:row>
      <xdr:rowOff>95250</xdr:rowOff>
    </xdr:to>
    <xdr:graphicFrame macro="">
      <xdr:nvGraphicFramePr>
        <xdr:cNvPr id="5" name="Gráfico 4">
          <a:extLst>
            <a:ext uri="{FF2B5EF4-FFF2-40B4-BE49-F238E27FC236}">
              <a16:creationId xmlns:a16="http://schemas.microsoft.com/office/drawing/2014/main" id="{0EE0928D-32BE-426D-B8ED-3DAC201126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27</xdr:col>
      <xdr:colOff>190500</xdr:colOff>
      <xdr:row>0</xdr:row>
      <xdr:rowOff>114301</xdr:rowOff>
    </xdr:from>
    <xdr:to>
      <xdr:col>27</xdr:col>
      <xdr:colOff>690775</xdr:colOff>
      <xdr:row>3</xdr:row>
      <xdr:rowOff>85726</xdr:rowOff>
    </xdr:to>
    <xdr:pic>
      <xdr:nvPicPr>
        <xdr:cNvPr id="4" name="Imagen 3">
          <a:hlinkClick xmlns:r="http://schemas.openxmlformats.org/officeDocument/2006/relationships" r:id="rId3"/>
          <a:extLst>
            <a:ext uri="{FF2B5EF4-FFF2-40B4-BE49-F238E27FC236}">
              <a16:creationId xmlns:a16="http://schemas.microsoft.com/office/drawing/2014/main" id="{840B8239-CE6F-489B-B6FD-6E9C2601EB0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837473B0-CC2E-450A-ABE3-18F120FF3D39}">
              <a1611:picAttrSrcUrl xmlns:a1611="http://schemas.microsoft.com/office/drawing/2016/11/main" r:id="rId5"/>
            </a:ext>
          </a:extLst>
        </a:blip>
        <a:stretch>
          <a:fillRect/>
        </a:stretch>
      </xdr:blipFill>
      <xdr:spPr>
        <a:xfrm>
          <a:off x="15344775" y="114301"/>
          <a:ext cx="500275" cy="5524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16</xdr:col>
      <xdr:colOff>326571</xdr:colOff>
      <xdr:row>0</xdr:row>
      <xdr:rowOff>163286</xdr:rowOff>
    </xdr:from>
    <xdr:to>
      <xdr:col>17</xdr:col>
      <xdr:colOff>229960</xdr:colOff>
      <xdr:row>3</xdr:row>
      <xdr:rowOff>54428</xdr:rowOff>
    </xdr:to>
    <xdr:pic>
      <xdr:nvPicPr>
        <xdr:cNvPr id="2" name="Imagen 1">
          <a:hlinkClick xmlns:r="http://schemas.openxmlformats.org/officeDocument/2006/relationships" r:id="rId1"/>
          <a:extLst>
            <a:ext uri="{FF2B5EF4-FFF2-40B4-BE49-F238E27FC236}">
              <a16:creationId xmlns:a16="http://schemas.microsoft.com/office/drawing/2014/main" id="{40F94AB4-45CB-4EEC-B12E-EEE098D89AC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837473B0-CC2E-450A-ABE3-18F120FF3D39}">
              <a1611:picAttrSrcUrl xmlns:a1611="http://schemas.microsoft.com/office/drawing/2016/11/main" r:id="rId3"/>
            </a:ext>
          </a:extLst>
        </a:blip>
        <a:stretch>
          <a:fillRect/>
        </a:stretch>
      </xdr:blipFill>
      <xdr:spPr>
        <a:xfrm>
          <a:off x="11906250" y="163286"/>
          <a:ext cx="665389" cy="73478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9</xdr:col>
      <xdr:colOff>801</xdr:colOff>
      <xdr:row>0</xdr:row>
      <xdr:rowOff>1120</xdr:rowOff>
    </xdr:from>
    <xdr:to>
      <xdr:col>15</xdr:col>
      <xdr:colOff>801</xdr:colOff>
      <xdr:row>12</xdr:row>
      <xdr:rowOff>163286</xdr:rowOff>
    </xdr:to>
    <xdr:graphicFrame macro="">
      <xdr:nvGraphicFramePr>
        <xdr:cNvPr id="2" name="Gráfico 1">
          <a:extLst>
            <a:ext uri="{FF2B5EF4-FFF2-40B4-BE49-F238E27FC236}">
              <a16:creationId xmlns:a16="http://schemas.microsoft.com/office/drawing/2014/main" id="{FB8E582B-436A-4738-B704-1BAA1447A17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13</xdr:row>
      <xdr:rowOff>29935</xdr:rowOff>
    </xdr:from>
    <xdr:to>
      <xdr:col>14</xdr:col>
      <xdr:colOff>721179</xdr:colOff>
      <xdr:row>26</xdr:row>
      <xdr:rowOff>68035</xdr:rowOff>
    </xdr:to>
    <xdr:graphicFrame macro="">
      <xdr:nvGraphicFramePr>
        <xdr:cNvPr id="6" name="Gráfico 5">
          <a:extLst>
            <a:ext uri="{FF2B5EF4-FFF2-40B4-BE49-F238E27FC236}">
              <a16:creationId xmlns:a16="http://schemas.microsoft.com/office/drawing/2014/main" id="{3FF29E75-4D7B-4B11-A9F2-1DB89E11914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6803</xdr:colOff>
      <xdr:row>13</xdr:row>
      <xdr:rowOff>43543</xdr:rowOff>
    </xdr:from>
    <xdr:to>
      <xdr:col>21</xdr:col>
      <xdr:colOff>81643</xdr:colOff>
      <xdr:row>26</xdr:row>
      <xdr:rowOff>40821</xdr:rowOff>
    </xdr:to>
    <xdr:graphicFrame macro="">
      <xdr:nvGraphicFramePr>
        <xdr:cNvPr id="7" name="Gráfico 6">
          <a:extLst>
            <a:ext uri="{FF2B5EF4-FFF2-40B4-BE49-F238E27FC236}">
              <a16:creationId xmlns:a16="http://schemas.microsoft.com/office/drawing/2014/main" id="{FFAC37AD-7FFC-42F4-97D3-BCB52577A19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21</xdr:col>
      <xdr:colOff>156482</xdr:colOff>
      <xdr:row>13</xdr:row>
      <xdr:rowOff>57149</xdr:rowOff>
    </xdr:from>
    <xdr:to>
      <xdr:col>27</xdr:col>
      <xdr:colOff>108857</xdr:colOff>
      <xdr:row>25</xdr:row>
      <xdr:rowOff>231323</xdr:rowOff>
    </xdr:to>
    <xdr:graphicFrame macro="">
      <xdr:nvGraphicFramePr>
        <xdr:cNvPr id="8" name="Gráfico 7">
          <a:extLst>
            <a:ext uri="{FF2B5EF4-FFF2-40B4-BE49-F238E27FC236}">
              <a16:creationId xmlns:a16="http://schemas.microsoft.com/office/drawing/2014/main" id="{452981F1-68D5-427A-B82B-BA3D7C94CF7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27</xdr:col>
      <xdr:colOff>197302</xdr:colOff>
      <xdr:row>13</xdr:row>
      <xdr:rowOff>57151</xdr:rowOff>
    </xdr:from>
    <xdr:to>
      <xdr:col>33</xdr:col>
      <xdr:colOff>190499</xdr:colOff>
      <xdr:row>26</xdr:row>
      <xdr:rowOff>13608</xdr:rowOff>
    </xdr:to>
    <xdr:graphicFrame macro="">
      <xdr:nvGraphicFramePr>
        <xdr:cNvPr id="9" name="Gráfico 8">
          <a:extLst>
            <a:ext uri="{FF2B5EF4-FFF2-40B4-BE49-F238E27FC236}">
              <a16:creationId xmlns:a16="http://schemas.microsoft.com/office/drawing/2014/main" id="{B4CCBBD8-FA0F-4572-B321-7AD5EC6CA65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33</xdr:col>
      <xdr:colOff>278945</xdr:colOff>
      <xdr:row>13</xdr:row>
      <xdr:rowOff>57150</xdr:rowOff>
    </xdr:from>
    <xdr:to>
      <xdr:col>39</xdr:col>
      <xdr:colOff>231323</xdr:colOff>
      <xdr:row>25</xdr:row>
      <xdr:rowOff>217714</xdr:rowOff>
    </xdr:to>
    <xdr:graphicFrame macro="">
      <xdr:nvGraphicFramePr>
        <xdr:cNvPr id="10" name="Gráfico 9">
          <a:extLst>
            <a:ext uri="{FF2B5EF4-FFF2-40B4-BE49-F238E27FC236}">
              <a16:creationId xmlns:a16="http://schemas.microsoft.com/office/drawing/2014/main" id="{00919A63-F049-4836-9038-9317D8A5FA3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39</xdr:col>
      <xdr:colOff>326571</xdr:colOff>
      <xdr:row>13</xdr:row>
      <xdr:rowOff>70757</xdr:rowOff>
    </xdr:from>
    <xdr:to>
      <xdr:col>45</xdr:col>
      <xdr:colOff>326571</xdr:colOff>
      <xdr:row>25</xdr:row>
      <xdr:rowOff>187780</xdr:rowOff>
    </xdr:to>
    <xdr:graphicFrame macro="">
      <xdr:nvGraphicFramePr>
        <xdr:cNvPr id="11" name="Gráfico 10">
          <a:extLst>
            <a:ext uri="{FF2B5EF4-FFF2-40B4-BE49-F238E27FC236}">
              <a16:creationId xmlns:a16="http://schemas.microsoft.com/office/drawing/2014/main" id="{05E4F71D-3C96-485C-9600-25B7FF86352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-1</xdr:colOff>
      <xdr:row>27</xdr:row>
      <xdr:rowOff>2722</xdr:rowOff>
    </xdr:from>
    <xdr:to>
      <xdr:col>14</xdr:col>
      <xdr:colOff>666750</xdr:colOff>
      <xdr:row>38</xdr:row>
      <xdr:rowOff>163286</xdr:rowOff>
    </xdr:to>
    <xdr:graphicFrame macro="">
      <xdr:nvGraphicFramePr>
        <xdr:cNvPr id="12" name="Gráfico 11">
          <a:extLst>
            <a:ext uri="{FF2B5EF4-FFF2-40B4-BE49-F238E27FC236}">
              <a16:creationId xmlns:a16="http://schemas.microsoft.com/office/drawing/2014/main" id="{8869B308-CFCE-4221-8976-33C9D5E5FE2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15</xdr:col>
      <xdr:colOff>6804</xdr:colOff>
      <xdr:row>27</xdr:row>
      <xdr:rowOff>2721</xdr:rowOff>
    </xdr:from>
    <xdr:to>
      <xdr:col>20</xdr:col>
      <xdr:colOff>666750</xdr:colOff>
      <xdr:row>38</xdr:row>
      <xdr:rowOff>163286</xdr:rowOff>
    </xdr:to>
    <xdr:graphicFrame macro="">
      <xdr:nvGraphicFramePr>
        <xdr:cNvPr id="14" name="Gráfico 13">
          <a:extLst>
            <a:ext uri="{FF2B5EF4-FFF2-40B4-BE49-F238E27FC236}">
              <a16:creationId xmlns:a16="http://schemas.microsoft.com/office/drawing/2014/main" id="{5ACDC63D-AF50-466F-B5B3-0466811B687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21</xdr:col>
      <xdr:colOff>20409</xdr:colOff>
      <xdr:row>27</xdr:row>
      <xdr:rowOff>2721</xdr:rowOff>
    </xdr:from>
    <xdr:to>
      <xdr:col>26</xdr:col>
      <xdr:colOff>693964</xdr:colOff>
      <xdr:row>38</xdr:row>
      <xdr:rowOff>176892</xdr:rowOff>
    </xdr:to>
    <xdr:graphicFrame macro="">
      <xdr:nvGraphicFramePr>
        <xdr:cNvPr id="15" name="Gráfico 14">
          <a:extLst>
            <a:ext uri="{FF2B5EF4-FFF2-40B4-BE49-F238E27FC236}">
              <a16:creationId xmlns:a16="http://schemas.microsoft.com/office/drawing/2014/main" id="{6B1DDAC9-9218-4FD7-AFBB-3465C89BCC7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27</xdr:col>
      <xdr:colOff>20408</xdr:colOff>
      <xdr:row>27</xdr:row>
      <xdr:rowOff>16329</xdr:rowOff>
    </xdr:from>
    <xdr:to>
      <xdr:col>32</xdr:col>
      <xdr:colOff>680357</xdr:colOff>
      <xdr:row>38</xdr:row>
      <xdr:rowOff>176893</xdr:rowOff>
    </xdr:to>
    <xdr:graphicFrame macro="">
      <xdr:nvGraphicFramePr>
        <xdr:cNvPr id="16" name="Gráfico 15">
          <a:extLst>
            <a:ext uri="{FF2B5EF4-FFF2-40B4-BE49-F238E27FC236}">
              <a16:creationId xmlns:a16="http://schemas.microsoft.com/office/drawing/2014/main" id="{867EBE77-6075-4EA1-BB79-AF4063A1108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33</xdr:col>
      <xdr:colOff>6802</xdr:colOff>
      <xdr:row>27</xdr:row>
      <xdr:rowOff>16329</xdr:rowOff>
    </xdr:from>
    <xdr:to>
      <xdr:col>38</xdr:col>
      <xdr:colOff>639536</xdr:colOff>
      <xdr:row>38</xdr:row>
      <xdr:rowOff>176893</xdr:rowOff>
    </xdr:to>
    <xdr:graphicFrame macro="">
      <xdr:nvGraphicFramePr>
        <xdr:cNvPr id="17" name="Gráfico 16">
          <a:extLst>
            <a:ext uri="{FF2B5EF4-FFF2-40B4-BE49-F238E27FC236}">
              <a16:creationId xmlns:a16="http://schemas.microsoft.com/office/drawing/2014/main" id="{60387BD0-81A9-44FB-B91E-87CC4F941B4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9</xdr:col>
      <xdr:colOff>0</xdr:colOff>
      <xdr:row>39</xdr:row>
      <xdr:rowOff>84364</xdr:rowOff>
    </xdr:from>
    <xdr:to>
      <xdr:col>14</xdr:col>
      <xdr:colOff>755195</xdr:colOff>
      <xdr:row>51</xdr:row>
      <xdr:rowOff>187779</xdr:rowOff>
    </xdr:to>
    <xdr:graphicFrame macro="">
      <xdr:nvGraphicFramePr>
        <xdr:cNvPr id="4" name="Gráfico 3">
          <a:extLst>
            <a:ext uri="{FF2B5EF4-FFF2-40B4-BE49-F238E27FC236}">
              <a16:creationId xmlns:a16="http://schemas.microsoft.com/office/drawing/2014/main" id="{B459EA3A-9154-407F-8AFD-63763FA957A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15</xdr:col>
      <xdr:colOff>54428</xdr:colOff>
      <xdr:row>39</xdr:row>
      <xdr:rowOff>84362</xdr:rowOff>
    </xdr:from>
    <xdr:to>
      <xdr:col>21</xdr:col>
      <xdr:colOff>54428</xdr:colOff>
      <xdr:row>51</xdr:row>
      <xdr:rowOff>187777</xdr:rowOff>
    </xdr:to>
    <xdr:graphicFrame macro="">
      <xdr:nvGraphicFramePr>
        <xdr:cNvPr id="5" name="Gráfico 4">
          <a:extLst>
            <a:ext uri="{FF2B5EF4-FFF2-40B4-BE49-F238E27FC236}">
              <a16:creationId xmlns:a16="http://schemas.microsoft.com/office/drawing/2014/main" id="{54D01449-8CE7-463E-A1F9-311A04C1F2B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21</xdr:col>
      <xdr:colOff>136071</xdr:colOff>
      <xdr:row>39</xdr:row>
      <xdr:rowOff>84364</xdr:rowOff>
    </xdr:from>
    <xdr:to>
      <xdr:col>27</xdr:col>
      <xdr:colOff>136071</xdr:colOff>
      <xdr:row>51</xdr:row>
      <xdr:rowOff>187779</xdr:rowOff>
    </xdr:to>
    <xdr:graphicFrame macro="">
      <xdr:nvGraphicFramePr>
        <xdr:cNvPr id="18" name="Gráfico 17">
          <a:extLst>
            <a:ext uri="{FF2B5EF4-FFF2-40B4-BE49-F238E27FC236}">
              <a16:creationId xmlns:a16="http://schemas.microsoft.com/office/drawing/2014/main" id="{F447493D-76FE-4BFD-8F7C-64FF6538C2D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27</xdr:col>
      <xdr:colOff>217714</xdr:colOff>
      <xdr:row>39</xdr:row>
      <xdr:rowOff>70758</xdr:rowOff>
    </xdr:from>
    <xdr:to>
      <xdr:col>33</xdr:col>
      <xdr:colOff>217714</xdr:colOff>
      <xdr:row>51</xdr:row>
      <xdr:rowOff>174173</xdr:rowOff>
    </xdr:to>
    <xdr:graphicFrame macro="">
      <xdr:nvGraphicFramePr>
        <xdr:cNvPr id="19" name="Gráfico 18">
          <a:extLst>
            <a:ext uri="{FF2B5EF4-FFF2-40B4-BE49-F238E27FC236}">
              <a16:creationId xmlns:a16="http://schemas.microsoft.com/office/drawing/2014/main" id="{A55B2502-CC1C-4E2E-80AD-D457D206838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33</xdr:col>
      <xdr:colOff>312965</xdr:colOff>
      <xdr:row>39</xdr:row>
      <xdr:rowOff>84364</xdr:rowOff>
    </xdr:from>
    <xdr:to>
      <xdr:col>39</xdr:col>
      <xdr:colOff>312965</xdr:colOff>
      <xdr:row>51</xdr:row>
      <xdr:rowOff>187779</xdr:rowOff>
    </xdr:to>
    <xdr:graphicFrame macro="">
      <xdr:nvGraphicFramePr>
        <xdr:cNvPr id="21" name="Gráfico 20">
          <a:extLst>
            <a:ext uri="{FF2B5EF4-FFF2-40B4-BE49-F238E27FC236}">
              <a16:creationId xmlns:a16="http://schemas.microsoft.com/office/drawing/2014/main" id="{254BDD5C-547F-42EC-94AD-08DA650AA99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9</xdr:col>
      <xdr:colOff>0</xdr:colOff>
      <xdr:row>52</xdr:row>
      <xdr:rowOff>97972</xdr:rowOff>
    </xdr:from>
    <xdr:to>
      <xdr:col>14</xdr:col>
      <xdr:colOff>748392</xdr:colOff>
      <xdr:row>64</xdr:row>
      <xdr:rowOff>214993</xdr:rowOff>
    </xdr:to>
    <xdr:graphicFrame macro="">
      <xdr:nvGraphicFramePr>
        <xdr:cNvPr id="22" name="Gráfico 21">
          <a:extLst>
            <a:ext uri="{FF2B5EF4-FFF2-40B4-BE49-F238E27FC236}">
              <a16:creationId xmlns:a16="http://schemas.microsoft.com/office/drawing/2014/main" id="{7C143491-018B-4ACE-82DA-2F08CFFA5DA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8</xdr:col>
      <xdr:colOff>571500</xdr:colOff>
      <xdr:row>0</xdr:row>
      <xdr:rowOff>0</xdr:rowOff>
    </xdr:from>
    <xdr:to>
      <xdr:col>8</xdr:col>
      <xdr:colOff>1171575</xdr:colOff>
      <xdr:row>2</xdr:row>
      <xdr:rowOff>63945</xdr:rowOff>
    </xdr:to>
    <xdr:pic>
      <xdr:nvPicPr>
        <xdr:cNvPr id="20" name="Imagen 19">
          <a:hlinkClick xmlns:r="http://schemas.openxmlformats.org/officeDocument/2006/relationships" r:id="rId19"/>
          <a:extLst>
            <a:ext uri="{FF2B5EF4-FFF2-40B4-BE49-F238E27FC236}">
              <a16:creationId xmlns:a16="http://schemas.microsoft.com/office/drawing/2014/main" id="{C38ADAE0-CFD3-49BB-B867-8BF6CEB71749}"/>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 uri="{837473B0-CC2E-450A-ABE3-18F120FF3D39}">
              <a1611:picAttrSrcUrl xmlns:a1611="http://schemas.microsoft.com/office/drawing/2016/11/main" r:id="rId21"/>
            </a:ext>
          </a:extLst>
        </a:blip>
        <a:stretch>
          <a:fillRect/>
        </a:stretch>
      </xdr:blipFill>
      <xdr:spPr>
        <a:xfrm>
          <a:off x="12545786" y="0"/>
          <a:ext cx="600075" cy="66265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GOMEZ/Downloads/15.%20Plantilla_Plan_Viabilidad_Proyecto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AYUDA -"/>
      <sheetName val="INICIO"/>
      <sheetName val="BBDD"/>
      <sheetName val="INVERSIONES"/>
      <sheetName val="FINANCIACIÓN"/>
      <sheetName val="INGRESOS"/>
      <sheetName val="COMPRAS-STOCK"/>
      <sheetName val="GASTO-PERSONAL"/>
      <sheetName val="OTROS GASTOS"/>
      <sheetName val="ESTADO COSTOS"/>
      <sheetName val="RESULTADOS"/>
      <sheetName val="TESORERIA"/>
      <sheetName val="BALANCE"/>
      <sheetName val="FLUJO CAJA"/>
      <sheetName val="INDICADORES"/>
      <sheetName val="SUGERENCIAS"/>
    </sheetNames>
    <sheetDataSet>
      <sheetData sheetId="0"/>
      <sheetData sheetId="1">
        <row r="14">
          <cell r="K14">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workbookViewId="0"/>
  </sheetViews>
  <sheetFormatPr baseColWidth="10" defaultRowHeight="15"/>
  <cols>
    <col min="1" max="16384" width="11.42578125" style="385"/>
  </cols>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L38"/>
  <sheetViews>
    <sheetView showGridLines="0" zoomScaleNormal="100" workbookViewId="0"/>
  </sheetViews>
  <sheetFormatPr baseColWidth="10" defaultRowHeight="15"/>
  <cols>
    <col min="2" max="2" width="19.5703125" customWidth="1"/>
    <col min="3" max="3" width="9.140625" customWidth="1"/>
    <col min="4" max="4" width="10.85546875" customWidth="1"/>
    <col min="5" max="5" width="13.140625" customWidth="1"/>
    <col min="6" max="6" width="15.140625" customWidth="1"/>
    <col min="7" max="7" width="10.7109375" customWidth="1"/>
    <col min="9" max="9" width="18.85546875" bestFit="1" customWidth="1"/>
    <col min="10" max="10" width="6.42578125" bestFit="1" customWidth="1"/>
    <col min="13" max="13" width="7.7109375" bestFit="1" customWidth="1"/>
    <col min="14" max="14" width="6.42578125" bestFit="1" customWidth="1"/>
  </cols>
  <sheetData>
    <row r="1" spans="2:12">
      <c r="B1" s="536" t="s">
        <v>508</v>
      </c>
      <c r="C1" s="537"/>
      <c r="D1" s="537"/>
      <c r="E1" s="537"/>
      <c r="F1" s="537"/>
      <c r="G1" s="538"/>
      <c r="I1" s="366" t="s">
        <v>277</v>
      </c>
      <c r="J1" s="367" t="s">
        <v>278</v>
      </c>
      <c r="K1" s="367" t="s">
        <v>279</v>
      </c>
      <c r="L1" s="370" t="s">
        <v>509</v>
      </c>
    </row>
    <row r="2" spans="2:12">
      <c r="B2" s="539" t="s">
        <v>277</v>
      </c>
      <c r="C2" s="540" t="s">
        <v>278</v>
      </c>
      <c r="D2" s="540" t="s">
        <v>279</v>
      </c>
      <c r="E2" s="540" t="s">
        <v>280</v>
      </c>
      <c r="F2" s="540" t="s">
        <v>281</v>
      </c>
      <c r="G2" s="541" t="s">
        <v>509</v>
      </c>
      <c r="I2" s="241" t="s">
        <v>510</v>
      </c>
      <c r="J2" s="352">
        <v>1.5668307785856241</v>
      </c>
      <c r="K2" s="352">
        <v>2.3971429999452591</v>
      </c>
      <c r="L2" s="242">
        <v>1.733282298747796</v>
      </c>
    </row>
    <row r="3" spans="2:12">
      <c r="B3" s="539"/>
      <c r="C3" s="540"/>
      <c r="D3" s="540"/>
      <c r="E3" s="540"/>
      <c r="F3" s="540"/>
      <c r="G3" s="541"/>
      <c r="I3" s="369" t="s">
        <v>277</v>
      </c>
      <c r="J3" s="356" t="s">
        <v>278</v>
      </c>
      <c r="K3" s="356" t="s">
        <v>279</v>
      </c>
      <c r="L3" s="357" t="s">
        <v>509</v>
      </c>
    </row>
    <row r="4" spans="2:12">
      <c r="B4" s="241" t="s">
        <v>286</v>
      </c>
      <c r="C4" s="352">
        <f>+'Estados financieros'!G12/'Estados financieros'!G28</f>
        <v>1.5668307785856241</v>
      </c>
      <c r="D4" s="352">
        <f>+Anpro!C21/Anpro!C61</f>
        <v>2.3971429999452591</v>
      </c>
      <c r="E4" s="352">
        <f>+'Gen Kieffer &amp; Asociados'!B12/'Gen Kieffer &amp; Asociados'!B19</f>
        <v>1.4596211458933881</v>
      </c>
      <c r="F4" s="352">
        <f>+'Universal Insure Holdings'!B5/'Universal Insure Holdings'!B22</f>
        <v>1.3430827504047409</v>
      </c>
      <c r="G4" s="242">
        <f>+AVERAGE(D4:F4)</f>
        <v>1.733282298747796</v>
      </c>
      <c r="I4" s="358" t="s">
        <v>511</v>
      </c>
      <c r="J4" s="359">
        <v>-17.314332587644152</v>
      </c>
      <c r="K4" s="359">
        <v>-6.9800786379713209</v>
      </c>
      <c r="L4" s="360">
        <v>-1.9139867607699843</v>
      </c>
    </row>
    <row r="5" spans="2:12">
      <c r="B5" s="376" t="s">
        <v>501</v>
      </c>
      <c r="C5" s="377">
        <f>+Gráficas!H15</f>
        <v>7.0980633731927245</v>
      </c>
      <c r="D5" s="377">
        <v>5.3972129054940847</v>
      </c>
      <c r="E5" s="377">
        <v>2.8994224956097128</v>
      </c>
      <c r="F5" s="377">
        <v>2</v>
      </c>
      <c r="G5" s="378">
        <f t="shared" ref="G5:G13" si="0">+AVERAGE(D5:F5)</f>
        <v>3.4322118003679325</v>
      </c>
      <c r="I5" s="369" t="s">
        <v>277</v>
      </c>
      <c r="J5" s="356" t="s">
        <v>278</v>
      </c>
      <c r="K5" s="356" t="s">
        <v>279</v>
      </c>
      <c r="L5" s="357" t="s">
        <v>509</v>
      </c>
    </row>
    <row r="6" spans="2:12">
      <c r="B6" s="241" t="s">
        <v>502</v>
      </c>
      <c r="C6" s="352">
        <f>+Gráficas!H17</f>
        <v>24.412395960836879</v>
      </c>
      <c r="D6" s="352">
        <v>12.377291543465406</v>
      </c>
      <c r="E6" s="352">
        <v>1.6613041399483448</v>
      </c>
      <c r="F6" s="352">
        <v>3</v>
      </c>
      <c r="G6" s="242">
        <f t="shared" si="0"/>
        <v>5.6795318944712498</v>
      </c>
      <c r="I6" s="241" t="s">
        <v>512</v>
      </c>
      <c r="J6" s="352">
        <v>1.2936893022304756</v>
      </c>
      <c r="K6" s="352">
        <v>0.50125644347070519</v>
      </c>
      <c r="L6" s="242">
        <v>1.8639033621471317</v>
      </c>
    </row>
    <row r="7" spans="2:12">
      <c r="B7" s="376" t="s">
        <v>503</v>
      </c>
      <c r="C7" s="377">
        <f>+C5-C6</f>
        <v>-17.314332587644152</v>
      </c>
      <c r="D7" s="377">
        <f t="shared" ref="D7:F7" si="1">+D5-D6</f>
        <v>-6.9800786379713209</v>
      </c>
      <c r="E7" s="377">
        <f t="shared" si="1"/>
        <v>1.238118355661368</v>
      </c>
      <c r="F7" s="377">
        <f t="shared" si="1"/>
        <v>-1</v>
      </c>
      <c r="G7" s="378">
        <f t="shared" si="0"/>
        <v>-2.2473200941033178</v>
      </c>
      <c r="I7" s="369" t="s">
        <v>277</v>
      </c>
      <c r="J7" s="356" t="s">
        <v>278</v>
      </c>
      <c r="K7" s="356" t="s">
        <v>279</v>
      </c>
      <c r="L7" s="357" t="s">
        <v>509</v>
      </c>
    </row>
    <row r="8" spans="2:12">
      <c r="B8" s="241" t="s">
        <v>504</v>
      </c>
      <c r="C8" s="352">
        <f>+Gráficas!H33</f>
        <v>1.2936893022304756</v>
      </c>
      <c r="D8" s="352">
        <f>+Anpro!C71/Anpro!C85</f>
        <v>0.50125644347070519</v>
      </c>
      <c r="E8" s="352">
        <f>+'Gen Kieffer &amp; Asociados'!B19/'Gen Kieffer &amp; Asociados'!B27</f>
        <v>2.1757049451119888</v>
      </c>
      <c r="F8" s="352">
        <f>+'Universal Insure Holdings'!B22/'Universal Insure Holdings'!B36</f>
        <v>2.9147486978587009</v>
      </c>
      <c r="G8" s="242">
        <f t="shared" si="0"/>
        <v>1.8639033621471317</v>
      </c>
      <c r="I8" s="358" t="s">
        <v>513</v>
      </c>
      <c r="J8" s="361">
        <v>0.48230363923685149</v>
      </c>
      <c r="K8" s="361">
        <v>4.7159919268844885E-2</v>
      </c>
      <c r="L8" s="362">
        <v>0.10288674850424406</v>
      </c>
    </row>
    <row r="9" spans="2:12" s="217" customFormat="1">
      <c r="B9" s="376" t="s">
        <v>285</v>
      </c>
      <c r="C9" s="379">
        <f>+Gráficas!H45</f>
        <v>0.48230363923685149</v>
      </c>
      <c r="D9" s="379">
        <f>+Anpro!C100/Anpro!C94</f>
        <v>4.7159919268844885E-2</v>
      </c>
      <c r="E9" s="379">
        <f>+'Gen Kieffer &amp; Asociados'!B48/'Gen Kieffer &amp; Asociados'!B40</f>
        <v>0.23891393773563296</v>
      </c>
      <c r="F9" s="379">
        <f>+'Universal Insure Holdings'!B68/'Universal Insure Holdings'!B55</f>
        <v>2.2586388508254333E-2</v>
      </c>
      <c r="G9" s="380">
        <f t="shared" si="0"/>
        <v>0.10288674850424406</v>
      </c>
      <c r="I9" s="351" t="s">
        <v>514</v>
      </c>
      <c r="J9" s="353">
        <v>6.86036332372921E-2</v>
      </c>
      <c r="K9" s="353">
        <v>3.3017532340392931E-2</v>
      </c>
      <c r="L9" s="354">
        <v>5.6655106944716004E-2</v>
      </c>
    </row>
    <row r="10" spans="2:12" s="217" customFormat="1">
      <c r="B10" s="351" t="s">
        <v>284</v>
      </c>
      <c r="C10" s="353">
        <f>+Gráficas!H48</f>
        <v>6.86036332372921E-2</v>
      </c>
      <c r="D10" s="353">
        <f>+Anpro!C107/Anpro!C94</f>
        <v>3.3017532340392931E-2</v>
      </c>
      <c r="E10" s="353">
        <f>+'Gen Kieffer &amp; Asociados'!B64/'Gen Kieffer &amp; Asociados'!B40</f>
        <v>0.11913409124271336</v>
      </c>
      <c r="F10" s="353">
        <f>+'Universal Insure Holdings'!B80/'Universal Insure Holdings'!B55</f>
        <v>1.7813697251041694E-2</v>
      </c>
      <c r="G10" s="354">
        <f t="shared" si="0"/>
        <v>5.6655106944716004E-2</v>
      </c>
      <c r="I10" s="358" t="s">
        <v>282</v>
      </c>
      <c r="J10" s="361">
        <v>0.23841384180928429</v>
      </c>
      <c r="K10" s="361">
        <v>6.3351620062139374E-2</v>
      </c>
      <c r="L10" s="362">
        <v>6.2227516276997845E-2</v>
      </c>
    </row>
    <row r="11" spans="2:12" s="217" customFormat="1">
      <c r="B11" s="376" t="s">
        <v>283</v>
      </c>
      <c r="C11" s="379">
        <f>+'Estados financieros'!P19/'Estados financieros'!G18</f>
        <v>0.23841384180928429</v>
      </c>
      <c r="D11" s="379">
        <f>+Anpro!C107/Anpro!C32</f>
        <v>6.3351620062139374E-2</v>
      </c>
      <c r="E11" s="379">
        <f>+'Gen Kieffer &amp; Asociados'!B64/'Gen Kieffer &amp; Asociados'!B12</f>
        <v>0.11246519534606284</v>
      </c>
      <c r="F11" s="379">
        <f>+'Universal Insure Holdings'!B80/'Universal Insure Holdings'!B5</f>
        <v>1.0865733422791317E-2</v>
      </c>
      <c r="G11" s="380">
        <f t="shared" si="0"/>
        <v>6.2227516276997845E-2</v>
      </c>
      <c r="I11" s="351" t="s">
        <v>259</v>
      </c>
      <c r="J11" s="353">
        <v>0.54684727846162429</v>
      </c>
      <c r="K11" s="353">
        <v>9.5106960281033937E-2</v>
      </c>
      <c r="L11" s="354">
        <v>0.16493328435415686</v>
      </c>
    </row>
    <row r="12" spans="2:12" s="217" customFormat="1" ht="15.75" thickBot="1">
      <c r="B12" s="351" t="s">
        <v>259</v>
      </c>
      <c r="C12" s="353">
        <f>+'Estados financieros'!P23/'Estados financieros'!G40</f>
        <v>0.54684727846162429</v>
      </c>
      <c r="D12" s="353">
        <f>+Anpro!C107/Anpro!C85</f>
        <v>9.5106960281033937E-2</v>
      </c>
      <c r="E12" s="353">
        <f>+'Gen Kieffer &amp; Asociados'!B64/'Gen Kieffer &amp; Asociados'!B27</f>
        <v>0.35715627701328451</v>
      </c>
      <c r="F12" s="353">
        <f>+'Universal Insure Holdings'!B80/'Universal Insure Holdings'!B36</f>
        <v>4.253661576815207E-2</v>
      </c>
      <c r="G12" s="354">
        <f t="shared" si="0"/>
        <v>0.16493328435415686</v>
      </c>
      <c r="I12" s="371" t="s">
        <v>515</v>
      </c>
      <c r="J12" s="365">
        <v>0.51116454614097062</v>
      </c>
      <c r="K12" s="365">
        <v>4.7159919268844885E-2</v>
      </c>
      <c r="L12" s="364">
        <v>9.5285699039997007E-2</v>
      </c>
    </row>
    <row r="13" spans="2:12" s="217" customFormat="1" ht="15.75" thickBot="1">
      <c r="B13" s="381" t="s">
        <v>505</v>
      </c>
      <c r="C13" s="382">
        <f>+Gráficas!H65</f>
        <v>0.51116454614097062</v>
      </c>
      <c r="D13" s="382">
        <v>4.7159919268844885E-2</v>
      </c>
      <c r="E13" s="382">
        <v>0.2161107893428918</v>
      </c>
      <c r="F13" s="382">
        <v>2.2586388508254333E-2</v>
      </c>
      <c r="G13" s="383">
        <f t="shared" si="0"/>
        <v>9.5285699039997007E-2</v>
      </c>
    </row>
    <row r="14" spans="2:12">
      <c r="I14" s="369" t="s">
        <v>277</v>
      </c>
      <c r="J14" s="356" t="s">
        <v>278</v>
      </c>
      <c r="K14" s="356" t="s">
        <v>280</v>
      </c>
      <c r="L14" s="357" t="s">
        <v>509</v>
      </c>
    </row>
    <row r="15" spans="2:12">
      <c r="B15" s="240"/>
      <c r="C15" s="240"/>
      <c r="D15" s="240"/>
      <c r="E15" s="240"/>
      <c r="F15" s="240"/>
      <c r="I15" s="241" t="s">
        <v>286</v>
      </c>
      <c r="J15" s="352">
        <v>1.5668307785856241</v>
      </c>
      <c r="K15" s="352">
        <v>1.4596211458933881</v>
      </c>
      <c r="L15" s="242">
        <v>1.733282298747796</v>
      </c>
    </row>
    <row r="16" spans="2:12">
      <c r="I16" s="369" t="s">
        <v>277</v>
      </c>
      <c r="J16" s="356" t="s">
        <v>278</v>
      </c>
      <c r="K16" s="356" t="s">
        <v>280</v>
      </c>
      <c r="L16" s="357" t="s">
        <v>509</v>
      </c>
    </row>
    <row r="17" spans="9:12">
      <c r="I17" s="358" t="s">
        <v>503</v>
      </c>
      <c r="J17" s="359">
        <v>-17.314332587644152</v>
      </c>
      <c r="K17" s="359">
        <v>1.238118355661368</v>
      </c>
      <c r="L17" s="360">
        <v>-1.9139867607699843</v>
      </c>
    </row>
    <row r="18" spans="9:12">
      <c r="I18" s="369" t="s">
        <v>277</v>
      </c>
      <c r="J18" s="356" t="s">
        <v>278</v>
      </c>
      <c r="K18" s="356" t="s">
        <v>280</v>
      </c>
      <c r="L18" s="357" t="s">
        <v>509</v>
      </c>
    </row>
    <row r="19" spans="9:12">
      <c r="I19" s="241" t="s">
        <v>504</v>
      </c>
      <c r="J19" s="352">
        <v>1.2936893022304756</v>
      </c>
      <c r="K19" s="352">
        <v>2.1757049451119888</v>
      </c>
      <c r="L19" s="242">
        <v>1.8639033621471317</v>
      </c>
    </row>
    <row r="20" spans="9:12">
      <c r="I20" s="369" t="s">
        <v>277</v>
      </c>
      <c r="J20" s="356" t="s">
        <v>278</v>
      </c>
      <c r="K20" s="356" t="s">
        <v>280</v>
      </c>
      <c r="L20" s="357" t="s">
        <v>509</v>
      </c>
    </row>
    <row r="21" spans="9:12">
      <c r="I21" s="358" t="s">
        <v>513</v>
      </c>
      <c r="J21" s="361">
        <v>0.48230363923685149</v>
      </c>
      <c r="K21" s="361">
        <v>0.23891393773563296</v>
      </c>
      <c r="L21" s="362">
        <v>0.10288674850424406</v>
      </c>
    </row>
    <row r="22" spans="9:12">
      <c r="I22" s="351" t="s">
        <v>514</v>
      </c>
      <c r="J22" s="353">
        <v>6.86036332372921E-2</v>
      </c>
      <c r="K22" s="353">
        <v>0.11913409124271336</v>
      </c>
      <c r="L22" s="354">
        <v>5.6655106944716004E-2</v>
      </c>
    </row>
    <row r="23" spans="9:12">
      <c r="I23" s="358" t="s">
        <v>282</v>
      </c>
      <c r="J23" s="361">
        <v>0.23841384180928429</v>
      </c>
      <c r="K23" s="361">
        <v>0.11246519534606284</v>
      </c>
      <c r="L23" s="362">
        <v>6.2227516276997845E-2</v>
      </c>
    </row>
    <row r="24" spans="9:12">
      <c r="I24" s="351" t="s">
        <v>259</v>
      </c>
      <c r="J24" s="353">
        <v>0.54684727846162429</v>
      </c>
      <c r="K24" s="353">
        <v>0.35715627701328451</v>
      </c>
      <c r="L24" s="354">
        <v>0.16493328435415686</v>
      </c>
    </row>
    <row r="25" spans="9:12" ht="15.75" thickBot="1">
      <c r="I25" s="371" t="s">
        <v>515</v>
      </c>
      <c r="J25" s="365">
        <v>0.51116454614097062</v>
      </c>
      <c r="K25" s="365">
        <v>0.2161107893428918</v>
      </c>
      <c r="L25" s="364">
        <v>9.5285699039997007E-2</v>
      </c>
    </row>
    <row r="27" spans="9:12">
      <c r="I27" s="244" t="s">
        <v>277</v>
      </c>
      <c r="J27" s="245" t="s">
        <v>278</v>
      </c>
      <c r="K27" s="245" t="s">
        <v>281</v>
      </c>
      <c r="L27" s="355" t="s">
        <v>509</v>
      </c>
    </row>
    <row r="28" spans="9:12">
      <c r="I28" s="241" t="s">
        <v>286</v>
      </c>
      <c r="J28" s="352">
        <v>1.5668307785856241</v>
      </c>
      <c r="K28" s="352">
        <v>1.3430827504047409</v>
      </c>
      <c r="L28" s="242">
        <v>1.733282298747796</v>
      </c>
    </row>
    <row r="29" spans="9:12">
      <c r="I29" s="244" t="s">
        <v>277</v>
      </c>
      <c r="J29" s="245" t="s">
        <v>278</v>
      </c>
      <c r="K29" s="245" t="s">
        <v>281</v>
      </c>
      <c r="L29" s="355" t="s">
        <v>509</v>
      </c>
    </row>
    <row r="30" spans="9:12">
      <c r="I30" s="358" t="s">
        <v>503</v>
      </c>
      <c r="J30" s="359">
        <v>-17.314332587644152</v>
      </c>
      <c r="K30" s="359">
        <v>0</v>
      </c>
      <c r="L30" s="360">
        <v>-1.9139867607699843</v>
      </c>
    </row>
    <row r="31" spans="9:12">
      <c r="I31" s="244" t="s">
        <v>277</v>
      </c>
      <c r="J31" s="245" t="s">
        <v>278</v>
      </c>
      <c r="K31" s="245" t="s">
        <v>281</v>
      </c>
      <c r="L31" s="355" t="s">
        <v>509</v>
      </c>
    </row>
    <row r="32" spans="9:12">
      <c r="I32" s="241" t="s">
        <v>504</v>
      </c>
      <c r="J32" s="352">
        <v>1.2936893022304756</v>
      </c>
      <c r="K32" s="352">
        <v>2.9147486978587009</v>
      </c>
      <c r="L32" s="242">
        <v>1.8639033621471317</v>
      </c>
    </row>
    <row r="33" spans="9:12">
      <c r="I33" s="244" t="s">
        <v>277</v>
      </c>
      <c r="J33" s="245" t="s">
        <v>278</v>
      </c>
      <c r="K33" s="245" t="s">
        <v>281</v>
      </c>
      <c r="L33" s="355" t="s">
        <v>509</v>
      </c>
    </row>
    <row r="34" spans="9:12">
      <c r="I34" s="358" t="s">
        <v>513</v>
      </c>
      <c r="J34" s="361">
        <v>0.48230363923685149</v>
      </c>
      <c r="K34" s="361">
        <v>2.2586388508254333E-2</v>
      </c>
      <c r="L34" s="362">
        <v>0.10288674850424406</v>
      </c>
    </row>
    <row r="35" spans="9:12">
      <c r="I35" s="351" t="s">
        <v>514</v>
      </c>
      <c r="J35" s="353">
        <v>6.86036332372921E-2</v>
      </c>
      <c r="K35" s="353">
        <v>1.7813697251041694E-2</v>
      </c>
      <c r="L35" s="354">
        <v>5.6655106944716004E-2</v>
      </c>
    </row>
    <row r="36" spans="9:12">
      <c r="I36" s="358" t="s">
        <v>282</v>
      </c>
      <c r="J36" s="361">
        <v>0.23841384180928429</v>
      </c>
      <c r="K36" s="361">
        <v>1.0865733422791317E-2</v>
      </c>
      <c r="L36" s="362">
        <v>6.2227516276997845E-2</v>
      </c>
    </row>
    <row r="37" spans="9:12">
      <c r="I37" s="351" t="s">
        <v>259</v>
      </c>
      <c r="J37" s="353">
        <v>0.54684727846162429</v>
      </c>
      <c r="K37" s="353">
        <v>4.253661576815207E-2</v>
      </c>
      <c r="L37" s="354">
        <v>0.16493328435415686</v>
      </c>
    </row>
    <row r="38" spans="9:12" ht="15.75" thickBot="1">
      <c r="I38" s="371" t="s">
        <v>515</v>
      </c>
      <c r="J38" s="365">
        <v>0.51116454614097062</v>
      </c>
      <c r="K38" s="365">
        <v>2.2586388508254333E-2</v>
      </c>
      <c r="L38" s="364">
        <v>9.5285699039997007E-2</v>
      </c>
    </row>
  </sheetData>
  <mergeCells count="7">
    <mergeCell ref="B1:G1"/>
    <mergeCell ref="B2:B3"/>
    <mergeCell ref="C2:C3"/>
    <mergeCell ref="D2:D3"/>
    <mergeCell ref="E2:E3"/>
    <mergeCell ref="F2:F3"/>
    <mergeCell ref="G2:G3"/>
  </mergeCells>
  <pageMargins left="0.7" right="0.7" top="0.75" bottom="0.75" header="0.3" footer="0.3"/>
  <pageSetup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107"/>
  <sheetViews>
    <sheetView topLeftCell="A91" zoomScale="120" zoomScaleNormal="120" workbookViewId="0">
      <selection activeCell="E10" sqref="E10"/>
    </sheetView>
  </sheetViews>
  <sheetFormatPr baseColWidth="10" defaultRowHeight="16.5"/>
  <cols>
    <col min="1" max="1" width="31" style="246" bestFit="1" customWidth="1"/>
    <col min="2" max="2" width="5.5703125" style="252" bestFit="1" customWidth="1"/>
    <col min="3" max="4" width="17.42578125" style="252" bestFit="1" customWidth="1"/>
    <col min="5" max="5" width="15" style="252" bestFit="1" customWidth="1"/>
    <col min="6" max="6" width="4.7109375" style="253" bestFit="1" customWidth="1"/>
    <col min="7" max="7" width="10.7109375" style="252" bestFit="1" customWidth="1"/>
    <col min="8" max="8" width="4" style="252" bestFit="1" customWidth="1"/>
  </cols>
  <sheetData>
    <row r="1" spans="1:8" ht="47.25" customHeight="1">
      <c r="A1" s="542" t="s">
        <v>287</v>
      </c>
      <c r="B1" s="543"/>
      <c r="C1" s="543"/>
      <c r="D1" s="543"/>
      <c r="E1" s="543"/>
      <c r="F1" s="543"/>
      <c r="G1" s="543"/>
      <c r="H1" s="543"/>
    </row>
    <row r="3" spans="1:8">
      <c r="B3" s="247" t="s">
        <v>288</v>
      </c>
      <c r="C3" s="248">
        <v>2020</v>
      </c>
      <c r="D3" s="249">
        <v>2019</v>
      </c>
      <c r="E3" s="250" t="s">
        <v>289</v>
      </c>
      <c r="F3" s="251" t="s">
        <v>162</v>
      </c>
    </row>
    <row r="4" spans="1:8">
      <c r="A4" s="246" t="s">
        <v>290</v>
      </c>
    </row>
    <row r="5" spans="1:8">
      <c r="A5" s="254" t="s">
        <v>291</v>
      </c>
      <c r="C5" s="255">
        <v>1596000</v>
      </c>
      <c r="D5" s="255">
        <v>1596000</v>
      </c>
      <c r="E5" s="256">
        <f>+C5-D5</f>
        <v>0</v>
      </c>
      <c r="F5" s="257">
        <v>0</v>
      </c>
    </row>
    <row r="6" spans="1:8">
      <c r="A6" s="254" t="s">
        <v>292</v>
      </c>
      <c r="C6" s="255">
        <v>402962000</v>
      </c>
      <c r="D6" s="255">
        <v>346731000</v>
      </c>
      <c r="E6" s="255">
        <f>+C6-D6</f>
        <v>56231000</v>
      </c>
      <c r="F6" s="257">
        <v>0.16</v>
      </c>
    </row>
    <row r="7" spans="1:8">
      <c r="A7" s="258" t="s">
        <v>293</v>
      </c>
      <c r="B7" s="259">
        <v>6</v>
      </c>
      <c r="C7" s="260">
        <f>+C5+C6</f>
        <v>404558000</v>
      </c>
      <c r="D7" s="260">
        <f t="shared" ref="D7:F7" si="0">+D5+D6</f>
        <v>348327000</v>
      </c>
      <c r="E7" s="260">
        <f t="shared" si="0"/>
        <v>56231000</v>
      </c>
      <c r="F7" s="261">
        <f t="shared" si="0"/>
        <v>0.16</v>
      </c>
    </row>
    <row r="8" spans="1:8">
      <c r="A8" s="254" t="s">
        <v>294</v>
      </c>
      <c r="B8" s="262"/>
      <c r="C8" s="255">
        <v>500593000</v>
      </c>
      <c r="D8" s="255">
        <v>604327000</v>
      </c>
      <c r="E8" s="263">
        <f t="shared" ref="E8:E13" si="1">+C8-D8</f>
        <v>-103734000</v>
      </c>
      <c r="F8" s="257">
        <v>-0.17</v>
      </c>
    </row>
    <row r="9" spans="1:8">
      <c r="A9" s="254" t="s">
        <v>295</v>
      </c>
      <c r="B9" s="264"/>
      <c r="C9" s="255">
        <v>0</v>
      </c>
      <c r="D9" s="255">
        <v>0</v>
      </c>
      <c r="E9" s="263">
        <f t="shared" si="1"/>
        <v>0</v>
      </c>
      <c r="F9" s="257"/>
    </row>
    <row r="10" spans="1:8">
      <c r="A10" s="254" t="s">
        <v>296</v>
      </c>
      <c r="B10" s="264"/>
      <c r="C10" s="255">
        <v>6928000</v>
      </c>
      <c r="D10" s="255">
        <v>147377000</v>
      </c>
      <c r="E10" s="263">
        <f t="shared" si="1"/>
        <v>-140449000</v>
      </c>
      <c r="F10" s="257">
        <v>-0.95</v>
      </c>
    </row>
    <row r="11" spans="1:8">
      <c r="A11" s="254" t="s">
        <v>297</v>
      </c>
      <c r="B11" s="264"/>
      <c r="C11" s="255">
        <v>1619000</v>
      </c>
      <c r="D11" s="255">
        <v>9402000</v>
      </c>
      <c r="E11" s="263">
        <f t="shared" si="1"/>
        <v>-7783000</v>
      </c>
      <c r="F11" s="257">
        <v>-0.83</v>
      </c>
    </row>
    <row r="12" spans="1:8">
      <c r="A12" s="254" t="s">
        <v>298</v>
      </c>
      <c r="B12" s="264"/>
      <c r="C12" s="255">
        <v>358000</v>
      </c>
      <c r="D12" s="255">
        <v>4464000</v>
      </c>
      <c r="E12" s="263">
        <f t="shared" si="1"/>
        <v>-4106000</v>
      </c>
      <c r="F12" s="257">
        <v>-0.92</v>
      </c>
    </row>
    <row r="13" spans="1:8">
      <c r="A13" s="258" t="s">
        <v>299</v>
      </c>
      <c r="B13" s="259">
        <v>7</v>
      </c>
      <c r="C13" s="260">
        <f>SUM(C8:C12)</f>
        <v>509498000</v>
      </c>
      <c r="D13" s="260">
        <f>SUM(D8:D12)</f>
        <v>765570000</v>
      </c>
      <c r="E13" s="260">
        <f t="shared" si="1"/>
        <v>-256072000</v>
      </c>
      <c r="F13" s="261">
        <v>-0.33</v>
      </c>
    </row>
    <row r="14" spans="1:8">
      <c r="A14" s="254" t="s">
        <v>300</v>
      </c>
      <c r="B14" s="262"/>
      <c r="C14" s="255">
        <v>49126000</v>
      </c>
      <c r="D14" s="255">
        <v>45783000</v>
      </c>
      <c r="E14" s="263">
        <f>+C14-D14</f>
        <v>3343000</v>
      </c>
      <c r="F14" s="257">
        <v>7.0000000000000007E-2</v>
      </c>
    </row>
    <row r="15" spans="1:8">
      <c r="A15" s="254" t="s">
        <v>301</v>
      </c>
      <c r="B15" s="264"/>
      <c r="C15" s="255">
        <v>22135000</v>
      </c>
      <c r="D15" s="255">
        <v>22704000</v>
      </c>
      <c r="E15" s="263">
        <f t="shared" ref="E15:E19" si="2">+C15-D15</f>
        <v>-569000</v>
      </c>
      <c r="F15" s="257">
        <v>-0.03</v>
      </c>
    </row>
    <row r="16" spans="1:8">
      <c r="A16" s="254" t="s">
        <v>302</v>
      </c>
      <c r="B16" s="264"/>
      <c r="C16" s="255">
        <v>17984000</v>
      </c>
      <c r="D16" s="255">
        <v>14794000</v>
      </c>
      <c r="E16" s="263">
        <f t="shared" si="2"/>
        <v>3190000</v>
      </c>
      <c r="F16" s="257">
        <v>0.22</v>
      </c>
    </row>
    <row r="17" spans="1:6">
      <c r="A17" s="254" t="s">
        <v>303</v>
      </c>
      <c r="B17" s="264"/>
      <c r="C17" s="255">
        <v>3885000</v>
      </c>
      <c r="D17" s="255">
        <v>3135000</v>
      </c>
      <c r="E17" s="263">
        <f t="shared" si="2"/>
        <v>750000</v>
      </c>
      <c r="F17" s="257">
        <v>0.24</v>
      </c>
    </row>
    <row r="18" spans="1:6">
      <c r="A18" s="254" t="s">
        <v>304</v>
      </c>
      <c r="B18" s="264"/>
      <c r="C18" s="255">
        <v>0</v>
      </c>
      <c r="D18" s="255">
        <v>0</v>
      </c>
      <c r="E18" s="263">
        <f t="shared" si="2"/>
        <v>0</v>
      </c>
      <c r="F18" s="257"/>
    </row>
    <row r="19" spans="1:6">
      <c r="A19" s="258" t="s">
        <v>305</v>
      </c>
      <c r="B19" s="259">
        <v>7</v>
      </c>
      <c r="C19" s="260">
        <f>SUM(C14:C18)</f>
        <v>93130000</v>
      </c>
      <c r="D19" s="260">
        <f>SUM(D14:D18)</f>
        <v>86416000</v>
      </c>
      <c r="E19" s="260">
        <f t="shared" si="2"/>
        <v>6714000</v>
      </c>
      <c r="F19" s="261">
        <v>0.08</v>
      </c>
    </row>
    <row r="21" spans="1:6">
      <c r="A21" s="258" t="s">
        <v>306</v>
      </c>
      <c r="C21" s="260">
        <f>+C7+C13+C19</f>
        <v>1007186000</v>
      </c>
      <c r="D21" s="260">
        <f>+D7+D13+D19</f>
        <v>1200313000</v>
      </c>
      <c r="E21" s="260">
        <f>+E7+E13+E19</f>
        <v>-193127000</v>
      </c>
      <c r="F21" s="265">
        <v>0.16</v>
      </c>
    </row>
    <row r="23" spans="1:6">
      <c r="A23" s="246" t="s">
        <v>307</v>
      </c>
    </row>
    <row r="24" spans="1:6">
      <c r="A24" s="254" t="s">
        <v>308</v>
      </c>
      <c r="C24" s="255">
        <v>145300000</v>
      </c>
      <c r="D24" s="255">
        <v>0</v>
      </c>
      <c r="E24" s="263">
        <f t="shared" ref="E24:E28" si="3">+C24-D24</f>
        <v>145300000</v>
      </c>
      <c r="F24" s="257"/>
    </row>
    <row r="25" spans="1:6">
      <c r="A25" s="254" t="s">
        <v>309</v>
      </c>
      <c r="B25" s="264"/>
      <c r="C25" s="255">
        <v>0</v>
      </c>
      <c r="D25" s="255">
        <v>0</v>
      </c>
      <c r="E25" s="263">
        <f t="shared" si="3"/>
        <v>0</v>
      </c>
      <c r="F25" s="257"/>
    </row>
    <row r="26" spans="1:6">
      <c r="A26" s="254" t="s">
        <v>310</v>
      </c>
      <c r="B26" s="264"/>
      <c r="C26" s="255">
        <v>119545000</v>
      </c>
      <c r="D26" s="255">
        <v>117614000</v>
      </c>
      <c r="E26" s="263">
        <f t="shared" si="3"/>
        <v>1931000</v>
      </c>
      <c r="F26" s="257">
        <v>0.02</v>
      </c>
    </row>
    <row r="27" spans="1:6">
      <c r="A27" s="254" t="s">
        <v>311</v>
      </c>
      <c r="B27" s="264"/>
      <c r="C27" s="255">
        <v>313488000</v>
      </c>
      <c r="D27" s="255">
        <v>289558000</v>
      </c>
      <c r="E27" s="263">
        <f t="shared" si="3"/>
        <v>23930000</v>
      </c>
      <c r="F27" s="257">
        <v>0.08</v>
      </c>
    </row>
    <row r="28" spans="1:6">
      <c r="A28" s="254" t="s">
        <v>312</v>
      </c>
      <c r="B28" s="264"/>
      <c r="C28" s="255">
        <v>-177394000</v>
      </c>
      <c r="D28" s="255">
        <v>-85869000</v>
      </c>
      <c r="E28" s="263">
        <f t="shared" si="3"/>
        <v>-91525000</v>
      </c>
      <c r="F28" s="257">
        <v>1.07</v>
      </c>
    </row>
    <row r="29" spans="1:6">
      <c r="A29" s="254" t="s">
        <v>313</v>
      </c>
      <c r="B29" s="259">
        <v>8</v>
      </c>
      <c r="C29" s="260">
        <f>SUM(C24:C28)</f>
        <v>400939000</v>
      </c>
      <c r="D29" s="260">
        <f>SUM(D24:D28)</f>
        <v>321303000</v>
      </c>
      <c r="E29" s="260">
        <f>SUM(E24:E28)</f>
        <v>79636000</v>
      </c>
      <c r="F29" s="265">
        <v>0.25</v>
      </c>
    </row>
    <row r="30" spans="1:6">
      <c r="A30" s="254"/>
    </row>
    <row r="31" spans="1:6">
      <c r="A31" s="258" t="s">
        <v>314</v>
      </c>
      <c r="C31" s="260">
        <f>+C29</f>
        <v>400939000</v>
      </c>
      <c r="D31" s="260">
        <f t="shared" ref="D31:F31" si="4">+D29</f>
        <v>321303000</v>
      </c>
      <c r="E31" s="260">
        <f t="shared" si="4"/>
        <v>79636000</v>
      </c>
      <c r="F31" s="265">
        <f t="shared" si="4"/>
        <v>0.25</v>
      </c>
    </row>
    <row r="32" spans="1:6">
      <c r="A32" s="246" t="s">
        <v>315</v>
      </c>
      <c r="C32" s="260">
        <f>+C21+C31</f>
        <v>1408125000</v>
      </c>
      <c r="D32" s="260">
        <f t="shared" ref="D32" si="5">+D21+D31</f>
        <v>1521616000</v>
      </c>
      <c r="E32" s="260"/>
      <c r="F32" s="265"/>
    </row>
    <row r="33" spans="1:7">
      <c r="A33" s="246" t="s">
        <v>43</v>
      </c>
    </row>
    <row r="34" spans="1:7">
      <c r="A34" s="254" t="s">
        <v>316</v>
      </c>
      <c r="B34" s="262"/>
      <c r="C34" s="255">
        <v>0</v>
      </c>
      <c r="D34" s="255">
        <v>3000</v>
      </c>
      <c r="E34" s="263">
        <f t="shared" ref="E34:E35" si="6">+C34-D34</f>
        <v>-3000</v>
      </c>
      <c r="F34" s="257">
        <v>1</v>
      </c>
    </row>
    <row r="35" spans="1:7">
      <c r="A35" s="266" t="s">
        <v>317</v>
      </c>
      <c r="B35" s="259">
        <v>9</v>
      </c>
      <c r="C35" s="255">
        <v>0</v>
      </c>
      <c r="D35" s="255">
        <v>3000</v>
      </c>
      <c r="E35" s="263">
        <f t="shared" si="6"/>
        <v>-3000</v>
      </c>
      <c r="F35" s="257">
        <v>1</v>
      </c>
    </row>
    <row r="36" spans="1:7">
      <c r="A36" s="267"/>
    </row>
    <row r="37" spans="1:7">
      <c r="A37" s="268" t="s">
        <v>318</v>
      </c>
      <c r="B37" s="269"/>
      <c r="C37" s="255">
        <v>207993000</v>
      </c>
      <c r="D37" s="255">
        <v>381817000</v>
      </c>
      <c r="E37" s="263">
        <f>+C37-D37</f>
        <v>-173824000</v>
      </c>
      <c r="F37" s="257">
        <v>-0.46</v>
      </c>
      <c r="G37" s="257"/>
    </row>
    <row r="38" spans="1:7">
      <c r="A38" s="270" t="s">
        <v>319</v>
      </c>
      <c r="B38" s="264"/>
      <c r="C38" s="255">
        <v>25625000</v>
      </c>
      <c r="D38" s="255">
        <v>19648000</v>
      </c>
      <c r="E38" s="263">
        <f t="shared" ref="E38:E45" si="7">+C38-D38</f>
        <v>5977000</v>
      </c>
      <c r="F38" s="257">
        <v>0.3</v>
      </c>
      <c r="G38" s="257"/>
    </row>
    <row r="39" spans="1:7">
      <c r="A39" s="270" t="s">
        <v>320</v>
      </c>
      <c r="B39" s="264"/>
      <c r="C39" s="255">
        <v>0</v>
      </c>
      <c r="D39" s="255">
        <v>0</v>
      </c>
      <c r="E39" s="263">
        <f t="shared" si="7"/>
        <v>0</v>
      </c>
      <c r="F39" s="257"/>
      <c r="G39" s="257"/>
    </row>
    <row r="40" spans="1:7">
      <c r="A40" s="270" t="s">
        <v>321</v>
      </c>
      <c r="B40" s="264"/>
      <c r="C40" s="255">
        <v>0</v>
      </c>
      <c r="D40" s="255">
        <v>0</v>
      </c>
      <c r="E40" s="263">
        <f t="shared" si="7"/>
        <v>0</v>
      </c>
      <c r="F40" s="257"/>
      <c r="G40" s="257"/>
    </row>
    <row r="41" spans="1:7">
      <c r="A41" s="266" t="s">
        <v>322</v>
      </c>
      <c r="B41" s="271">
        <v>10</v>
      </c>
      <c r="C41" s="260">
        <f>SUM(C37:C40)</f>
        <v>233618000</v>
      </c>
      <c r="D41" s="260">
        <f>SUM(D37:D40)</f>
        <v>401465000</v>
      </c>
      <c r="E41" s="260">
        <f>SUM(E37:E40)</f>
        <v>-167847000</v>
      </c>
      <c r="F41" s="265">
        <v>-0.42</v>
      </c>
      <c r="G41" s="257"/>
    </row>
    <row r="42" spans="1:7">
      <c r="A42" s="272" t="s">
        <v>323</v>
      </c>
      <c r="B42" s="262"/>
      <c r="C42" s="255">
        <v>14044000</v>
      </c>
      <c r="D42" s="255">
        <v>10489000</v>
      </c>
      <c r="E42" s="263">
        <f t="shared" si="7"/>
        <v>3555000</v>
      </c>
      <c r="F42" s="257">
        <v>0.34</v>
      </c>
    </row>
    <row r="43" spans="1:7">
      <c r="A43" s="270" t="s">
        <v>324</v>
      </c>
      <c r="B43" s="264"/>
      <c r="C43" s="255">
        <v>0</v>
      </c>
      <c r="D43" s="255">
        <v>0</v>
      </c>
      <c r="E43" s="263">
        <f t="shared" si="7"/>
        <v>0</v>
      </c>
      <c r="F43" s="257"/>
    </row>
    <row r="44" spans="1:7">
      <c r="A44" s="270" t="s">
        <v>325</v>
      </c>
      <c r="B44" s="264"/>
      <c r="C44" s="255">
        <v>51817000</v>
      </c>
      <c r="D44" s="255">
        <v>81099000</v>
      </c>
      <c r="E44" s="263">
        <f t="shared" si="7"/>
        <v>-29282000</v>
      </c>
      <c r="F44" s="257">
        <v>0.36</v>
      </c>
    </row>
    <row r="45" spans="1:7">
      <c r="A45" s="270" t="s">
        <v>326</v>
      </c>
      <c r="B45" s="264"/>
      <c r="C45" s="255">
        <v>0</v>
      </c>
      <c r="D45" s="255">
        <v>0</v>
      </c>
      <c r="E45" s="263">
        <f t="shared" si="7"/>
        <v>0</v>
      </c>
      <c r="F45" s="257"/>
    </row>
    <row r="46" spans="1:7">
      <c r="A46" s="266" t="s">
        <v>327</v>
      </c>
      <c r="B46" s="271">
        <v>11</v>
      </c>
      <c r="C46" s="260">
        <f>SUM(C42:C45)</f>
        <v>65861000</v>
      </c>
      <c r="D46" s="260">
        <f>SUM(D42:D45)</f>
        <v>91588000</v>
      </c>
      <c r="E46" s="260">
        <f>SUM(E42:E45)</f>
        <v>-25727000</v>
      </c>
      <c r="F46" s="265">
        <v>-0.28000000000000003</v>
      </c>
    </row>
    <row r="48" spans="1:7">
      <c r="A48" s="273" t="s">
        <v>328</v>
      </c>
      <c r="B48" s="274"/>
      <c r="C48" s="255">
        <v>0</v>
      </c>
      <c r="D48" s="255">
        <v>9489000</v>
      </c>
      <c r="E48" s="263">
        <f t="shared" ref="E48:E53" si="8">+C48-D48</f>
        <v>-9489000</v>
      </c>
      <c r="F48" s="257">
        <v>-1</v>
      </c>
    </row>
    <row r="49" spans="1:6">
      <c r="A49" s="273" t="s">
        <v>329</v>
      </c>
      <c r="B49" s="274"/>
      <c r="C49" s="255">
        <v>472000</v>
      </c>
      <c r="D49" s="255">
        <v>521000</v>
      </c>
      <c r="E49" s="263">
        <f t="shared" si="8"/>
        <v>-49000</v>
      </c>
      <c r="F49" s="257">
        <v>-0.1</v>
      </c>
    </row>
    <row r="50" spans="1:6">
      <c r="A50" s="273" t="s">
        <v>330</v>
      </c>
      <c r="B50" s="274"/>
      <c r="C50" s="255">
        <v>2575000</v>
      </c>
      <c r="D50" s="255">
        <v>1803000</v>
      </c>
      <c r="E50" s="263">
        <f t="shared" si="8"/>
        <v>772000</v>
      </c>
      <c r="F50" s="257">
        <v>0.43</v>
      </c>
    </row>
    <row r="51" spans="1:6">
      <c r="A51" s="273" t="s">
        <v>331</v>
      </c>
      <c r="B51" s="274"/>
      <c r="C51" s="255">
        <v>79433000</v>
      </c>
      <c r="D51" s="255">
        <v>73164000</v>
      </c>
      <c r="E51" s="263">
        <f t="shared" si="8"/>
        <v>6269000</v>
      </c>
      <c r="F51" s="257">
        <v>0.09</v>
      </c>
    </row>
    <row r="52" spans="1:6">
      <c r="A52" s="273" t="s">
        <v>332</v>
      </c>
      <c r="B52" s="274"/>
      <c r="C52" s="255">
        <v>32114000</v>
      </c>
      <c r="D52" s="255">
        <v>25940000</v>
      </c>
      <c r="E52" s="263">
        <f t="shared" si="8"/>
        <v>6174000</v>
      </c>
      <c r="F52" s="257">
        <v>0.24</v>
      </c>
    </row>
    <row r="53" spans="1:6">
      <c r="A53" s="273" t="s">
        <v>333</v>
      </c>
      <c r="B53" s="274"/>
      <c r="C53" s="255">
        <v>0</v>
      </c>
      <c r="D53" s="255">
        <v>0</v>
      </c>
      <c r="E53" s="263">
        <f t="shared" si="8"/>
        <v>0</v>
      </c>
      <c r="F53" s="257"/>
    </row>
    <row r="54" spans="1:6">
      <c r="A54" s="275" t="s">
        <v>334</v>
      </c>
      <c r="B54" s="276">
        <v>12</v>
      </c>
      <c r="C54" s="260">
        <f>SUM(C48:C53)</f>
        <v>114594000</v>
      </c>
      <c r="D54" s="260">
        <f t="shared" ref="D54:E54" si="9">SUM(D48:D53)</f>
        <v>110917000</v>
      </c>
      <c r="E54" s="260">
        <f t="shared" si="9"/>
        <v>3677000</v>
      </c>
      <c r="F54" s="265">
        <v>0.03</v>
      </c>
    </row>
    <row r="56" spans="1:6">
      <c r="A56" s="277" t="s">
        <v>335</v>
      </c>
      <c r="B56" s="278"/>
      <c r="C56" s="255">
        <v>0</v>
      </c>
      <c r="D56" s="255">
        <v>240000</v>
      </c>
      <c r="E56" s="263">
        <f>+C56-D56</f>
        <v>-240000</v>
      </c>
      <c r="F56" s="257">
        <v>-1</v>
      </c>
    </row>
    <row r="57" spans="1:6">
      <c r="A57" s="273" t="s">
        <v>336</v>
      </c>
      <c r="B57" s="274"/>
      <c r="C57" s="255">
        <v>0</v>
      </c>
      <c r="D57" s="255">
        <v>0</v>
      </c>
      <c r="E57" s="263">
        <f t="shared" ref="E57:E58" si="10">+C57-D57</f>
        <v>0</v>
      </c>
      <c r="F57" s="257"/>
    </row>
    <row r="58" spans="1:6">
      <c r="A58" s="273" t="s">
        <v>337</v>
      </c>
      <c r="B58" s="274"/>
      <c r="C58" s="255">
        <v>6088000</v>
      </c>
      <c r="D58" s="255">
        <v>18645000</v>
      </c>
      <c r="E58" s="263">
        <f t="shared" si="10"/>
        <v>-12557000</v>
      </c>
      <c r="F58" s="257">
        <v>-0.67</v>
      </c>
    </row>
    <row r="59" spans="1:6">
      <c r="A59" s="275" t="s">
        <v>338</v>
      </c>
      <c r="B59" s="276">
        <v>13</v>
      </c>
      <c r="C59" s="260">
        <f>SUM(C56:C58)</f>
        <v>6088000</v>
      </c>
      <c r="D59" s="260">
        <f>SUM(D56:D58)</f>
        <v>18885000</v>
      </c>
      <c r="E59" s="260">
        <f>SUM(E56:E58)</f>
        <v>-12797000</v>
      </c>
      <c r="F59" s="265">
        <v>-0.68</v>
      </c>
    </row>
    <row r="61" spans="1:6">
      <c r="A61" s="279" t="s">
        <v>50</v>
      </c>
      <c r="C61" s="260">
        <f>+C41+C46+C54+C59</f>
        <v>420161000</v>
      </c>
      <c r="D61" s="260">
        <f t="shared" ref="D61:E61" si="11">+D41+D46+D54+D59</f>
        <v>622855000</v>
      </c>
      <c r="E61" s="260">
        <f t="shared" si="11"/>
        <v>-202694000</v>
      </c>
      <c r="F61" s="265">
        <v>-0.33</v>
      </c>
    </row>
    <row r="63" spans="1:6">
      <c r="A63" s="246" t="s">
        <v>339</v>
      </c>
    </row>
    <row r="64" spans="1:6">
      <c r="A64" s="246" t="s">
        <v>316</v>
      </c>
      <c r="C64" s="255">
        <v>0</v>
      </c>
      <c r="D64" s="255">
        <v>0</v>
      </c>
      <c r="E64" s="263">
        <v>0</v>
      </c>
      <c r="F64" s="257"/>
    </row>
    <row r="65" spans="1:6">
      <c r="A65" s="275" t="s">
        <v>340</v>
      </c>
      <c r="C65" s="260">
        <v>0</v>
      </c>
      <c r="D65" s="260">
        <v>0</v>
      </c>
      <c r="E65" s="260">
        <v>0</v>
      </c>
      <c r="F65" s="265"/>
    </row>
    <row r="66" spans="1:6">
      <c r="A66" s="277" t="s">
        <v>341</v>
      </c>
      <c r="B66" s="278"/>
      <c r="C66" s="255">
        <v>50000000</v>
      </c>
      <c r="D66" s="255">
        <v>50000000</v>
      </c>
      <c r="E66" s="263"/>
      <c r="F66" s="257">
        <v>0</v>
      </c>
    </row>
    <row r="67" spans="1:6">
      <c r="A67" s="275" t="s">
        <v>342</v>
      </c>
      <c r="B67" s="276">
        <v>10</v>
      </c>
      <c r="C67" s="260">
        <f>SUM(C66)</f>
        <v>50000000</v>
      </c>
      <c r="D67" s="260">
        <f>SUM(D66)</f>
        <v>50000000</v>
      </c>
      <c r="E67" s="260"/>
      <c r="F67" s="265">
        <v>0</v>
      </c>
    </row>
    <row r="69" spans="1:6">
      <c r="A69" s="279" t="s">
        <v>343</v>
      </c>
      <c r="C69" s="260">
        <f>+C65+C67</f>
        <v>50000000</v>
      </c>
      <c r="D69" s="260">
        <f t="shared" ref="D69:E69" si="12">+D65+D67</f>
        <v>50000000</v>
      </c>
      <c r="E69" s="260">
        <f t="shared" si="12"/>
        <v>0</v>
      </c>
      <c r="F69" s="265">
        <v>0</v>
      </c>
    </row>
    <row r="71" spans="1:6">
      <c r="A71" s="246" t="s">
        <v>344</v>
      </c>
      <c r="C71" s="260">
        <f>+C61+C69</f>
        <v>470161000</v>
      </c>
      <c r="D71" s="260">
        <f>+D61+D69</f>
        <v>672855000</v>
      </c>
      <c r="E71" s="260">
        <f t="shared" ref="E71" si="13">+E51+E56+E64+E69</f>
        <v>6029000</v>
      </c>
      <c r="F71" s="265">
        <v>-0.3</v>
      </c>
    </row>
    <row r="73" spans="1:6">
      <c r="A73" s="246" t="s">
        <v>345</v>
      </c>
    </row>
    <row r="75" spans="1:6">
      <c r="A75" s="277" t="s">
        <v>346</v>
      </c>
      <c r="B75" s="278"/>
      <c r="C75" s="255">
        <v>500000000</v>
      </c>
      <c r="D75" s="255">
        <v>500000000</v>
      </c>
      <c r="E75" s="278"/>
      <c r="F75" s="278"/>
    </row>
    <row r="76" spans="1:6">
      <c r="A76" s="273" t="s">
        <v>347</v>
      </c>
      <c r="B76" s="274"/>
      <c r="C76" s="255">
        <v>-69336000</v>
      </c>
      <c r="D76" s="255">
        <v>-69336000</v>
      </c>
      <c r="E76" s="274"/>
      <c r="F76" s="274"/>
    </row>
    <row r="77" spans="1:6">
      <c r="A77" s="275" t="s">
        <v>348</v>
      </c>
      <c r="B77" s="276">
        <v>14</v>
      </c>
      <c r="C77" s="260">
        <f>SUM(C75:C76)</f>
        <v>430664000</v>
      </c>
      <c r="D77" s="260">
        <f>SUM(D75:D76)</f>
        <v>430664000</v>
      </c>
      <c r="E77" s="260"/>
      <c r="F77" s="265"/>
    </row>
    <row r="78" spans="1:6">
      <c r="A78" s="273" t="s">
        <v>349</v>
      </c>
      <c r="B78" s="274"/>
      <c r="C78" s="255">
        <v>201741000</v>
      </c>
      <c r="D78" s="255">
        <v>201741000</v>
      </c>
      <c r="E78" s="274"/>
      <c r="F78" s="274"/>
    </row>
    <row r="79" spans="1:6">
      <c r="A79" s="273" t="s">
        <v>350</v>
      </c>
      <c r="B79" s="274"/>
      <c r="C79" s="255">
        <v>143593000</v>
      </c>
      <c r="D79" s="255">
        <v>143593000</v>
      </c>
      <c r="E79" s="274"/>
      <c r="F79" s="274"/>
    </row>
    <row r="80" spans="1:6">
      <c r="A80" s="273" t="s">
        <v>351</v>
      </c>
      <c r="B80" s="274"/>
      <c r="C80" s="255">
        <v>58479000</v>
      </c>
      <c r="D80" s="255">
        <v>58479000</v>
      </c>
      <c r="E80" s="274"/>
      <c r="F80" s="274"/>
    </row>
    <row r="81" spans="1:9">
      <c r="A81" s="275" t="s">
        <v>352</v>
      </c>
      <c r="B81" s="274"/>
      <c r="C81" s="260">
        <v>89207000</v>
      </c>
      <c r="D81" s="260">
        <v>96953000</v>
      </c>
      <c r="E81" s="260">
        <v>-7746000</v>
      </c>
      <c r="F81" s="265">
        <v>-0.08</v>
      </c>
    </row>
    <row r="82" spans="1:9">
      <c r="A82" s="273" t="s">
        <v>353</v>
      </c>
      <c r="B82" s="274"/>
      <c r="C82" s="255">
        <v>14281000</v>
      </c>
      <c r="D82" s="255">
        <v>-82672000</v>
      </c>
      <c r="E82" s="255">
        <v>96953000</v>
      </c>
      <c r="F82" s="257">
        <v>-1.17</v>
      </c>
    </row>
    <row r="83" spans="1:9">
      <c r="A83" s="273" t="s">
        <v>354</v>
      </c>
      <c r="B83" s="274"/>
      <c r="C83" s="255">
        <v>0</v>
      </c>
      <c r="D83" s="255">
        <v>0</v>
      </c>
      <c r="E83" s="274"/>
      <c r="F83" s="274"/>
    </row>
    <row r="84" spans="1:9">
      <c r="A84" s="273" t="s">
        <v>355</v>
      </c>
      <c r="B84" s="278"/>
      <c r="C84" s="255">
        <v>0</v>
      </c>
      <c r="D84" s="255">
        <v>0</v>
      </c>
      <c r="E84" s="278"/>
      <c r="F84" s="278"/>
    </row>
    <row r="85" spans="1:9">
      <c r="A85" s="275" t="s">
        <v>60</v>
      </c>
      <c r="B85" s="274"/>
      <c r="C85" s="260">
        <f>SUM(C77:C84)</f>
        <v>937965000</v>
      </c>
      <c r="D85" s="260">
        <f>SUM(D77:D84)</f>
        <v>848758000</v>
      </c>
      <c r="E85" s="260"/>
      <c r="F85" s="265"/>
    </row>
    <row r="87" spans="1:9">
      <c r="A87" s="246" t="s">
        <v>356</v>
      </c>
      <c r="C87" s="260">
        <f>+C71+C85</f>
        <v>1408126000</v>
      </c>
      <c r="D87" s="260">
        <f>+D71+D85</f>
        <v>1521613000</v>
      </c>
      <c r="E87" s="260"/>
      <c r="F87" s="265"/>
    </row>
    <row r="91" spans="1:9" ht="36" customHeight="1">
      <c r="A91" s="544" t="s">
        <v>357</v>
      </c>
      <c r="B91" s="544"/>
      <c r="C91" s="544"/>
      <c r="D91" s="544"/>
      <c r="E91" s="544"/>
      <c r="F91" s="544"/>
      <c r="G91" s="544"/>
      <c r="H91" s="544"/>
      <c r="I91" s="280"/>
    </row>
    <row r="92" spans="1:9" ht="15">
      <c r="A92" s="545" t="s">
        <v>358</v>
      </c>
      <c r="B92" s="545"/>
      <c r="C92" s="545"/>
      <c r="D92" s="545"/>
      <c r="E92" s="545"/>
      <c r="F92" s="545"/>
      <c r="G92" s="545"/>
      <c r="H92" s="545"/>
      <c r="I92" s="281"/>
    </row>
    <row r="93" spans="1:9">
      <c r="A93" s="282"/>
      <c r="B93" s="283" t="s">
        <v>359</v>
      </c>
      <c r="C93" s="284">
        <v>2020</v>
      </c>
      <c r="D93" s="283" t="s">
        <v>162</v>
      </c>
      <c r="E93" s="284">
        <v>2019</v>
      </c>
      <c r="F93" s="283" t="s">
        <v>162</v>
      </c>
      <c r="G93" s="283" t="s">
        <v>289</v>
      </c>
      <c r="H93" s="283" t="s">
        <v>162</v>
      </c>
    </row>
    <row r="94" spans="1:9" ht="15">
      <c r="A94" s="285" t="s">
        <v>360</v>
      </c>
      <c r="B94" s="286">
        <v>16</v>
      </c>
      <c r="C94" s="287">
        <v>2701807000</v>
      </c>
      <c r="D94" s="288">
        <v>1</v>
      </c>
      <c r="E94" s="287">
        <v>2822987000</v>
      </c>
      <c r="F94" s="289">
        <v>1</v>
      </c>
      <c r="G94" s="287">
        <f t="shared" ref="G94:G107" si="14">+C94-E94</f>
        <v>-121180000</v>
      </c>
      <c r="H94" s="289">
        <v>-0.04</v>
      </c>
    </row>
    <row r="95" spans="1:9" ht="15">
      <c r="A95" s="290" t="s">
        <v>361</v>
      </c>
      <c r="B95" s="291"/>
      <c r="C95" s="292">
        <v>2912771000</v>
      </c>
      <c r="D95" s="293">
        <v>9.43</v>
      </c>
      <c r="E95" s="292">
        <v>2965357000</v>
      </c>
      <c r="F95" s="294">
        <v>9.6300000000000008</v>
      </c>
      <c r="G95" s="292">
        <f t="shared" si="14"/>
        <v>-52586000</v>
      </c>
      <c r="H95" s="294">
        <v>-0.17</v>
      </c>
    </row>
    <row r="96" spans="1:9" ht="15">
      <c r="A96" s="290" t="s">
        <v>362</v>
      </c>
      <c r="B96" s="291"/>
      <c r="C96" s="292">
        <v>-210964000</v>
      </c>
      <c r="D96" s="291">
        <v>-69</v>
      </c>
      <c r="E96" s="292">
        <v>-142370000</v>
      </c>
      <c r="F96" s="294">
        <v>-0.46</v>
      </c>
      <c r="G96" s="292">
        <f t="shared" si="14"/>
        <v>-68594000</v>
      </c>
      <c r="H96" s="294">
        <v>-1.1499999999999999</v>
      </c>
    </row>
    <row r="97" spans="1:8" ht="15">
      <c r="A97" s="285" t="s">
        <v>363</v>
      </c>
      <c r="B97" s="286"/>
      <c r="C97" s="287">
        <f>+C95+C96</f>
        <v>2701807000</v>
      </c>
      <c r="D97" s="288">
        <v>1</v>
      </c>
      <c r="E97" s="287">
        <f>+E95+E96</f>
        <v>2822987000</v>
      </c>
      <c r="F97" s="289">
        <v>1</v>
      </c>
      <c r="G97" s="287">
        <f t="shared" si="14"/>
        <v>-121180000</v>
      </c>
      <c r="H97" s="289">
        <v>-0.04</v>
      </c>
    </row>
    <row r="98" spans="1:8" ht="15">
      <c r="A98" s="290" t="s">
        <v>364</v>
      </c>
      <c r="B98" s="295">
        <v>17</v>
      </c>
      <c r="C98" s="296">
        <v>2574390000</v>
      </c>
      <c r="D98" s="297">
        <v>8.33</v>
      </c>
      <c r="E98" s="296">
        <v>2601462000</v>
      </c>
      <c r="F98" s="294">
        <v>8.4499999999999993</v>
      </c>
      <c r="G98" s="296">
        <f t="shared" si="14"/>
        <v>-27072000</v>
      </c>
      <c r="H98" s="294">
        <v>-0.01</v>
      </c>
    </row>
    <row r="99" spans="1:8" ht="15">
      <c r="A99" s="290" t="s">
        <v>365</v>
      </c>
      <c r="B99" s="291"/>
      <c r="C99" s="292">
        <v>0</v>
      </c>
      <c r="D99" s="293">
        <v>0</v>
      </c>
      <c r="E99" s="292">
        <v>0</v>
      </c>
      <c r="F99" s="294">
        <v>0</v>
      </c>
      <c r="G99" s="292">
        <f t="shared" si="14"/>
        <v>0</v>
      </c>
      <c r="H99" s="294">
        <v>0</v>
      </c>
    </row>
    <row r="100" spans="1:8" ht="15">
      <c r="A100" s="298" t="s">
        <v>366</v>
      </c>
      <c r="B100" s="299"/>
      <c r="C100" s="300">
        <f>+C97-C98-C99</f>
        <v>127417000</v>
      </c>
      <c r="D100" s="301">
        <v>0.05</v>
      </c>
      <c r="E100" s="300">
        <f>+E97-E98</f>
        <v>221525000</v>
      </c>
      <c r="F100" s="301">
        <v>0.08</v>
      </c>
      <c r="G100" s="300">
        <f t="shared" si="14"/>
        <v>-94108000</v>
      </c>
      <c r="H100" s="301">
        <v>-0.42</v>
      </c>
    </row>
    <row r="101" spans="1:8" ht="15">
      <c r="A101" s="302" t="s">
        <v>367</v>
      </c>
      <c r="B101" s="303">
        <v>18</v>
      </c>
      <c r="C101" s="304">
        <v>64446000</v>
      </c>
      <c r="D101" s="305">
        <v>0.02</v>
      </c>
      <c r="E101" s="296">
        <v>14950000</v>
      </c>
      <c r="F101" s="306">
        <v>0.01</v>
      </c>
      <c r="G101" s="296">
        <f t="shared" si="14"/>
        <v>49496000</v>
      </c>
      <c r="H101" s="306">
        <v>-0.41</v>
      </c>
    </row>
    <row r="102" spans="1:8" ht="15">
      <c r="A102" s="290" t="s">
        <v>368</v>
      </c>
      <c r="B102" s="295">
        <v>19</v>
      </c>
      <c r="C102" s="296">
        <v>102656000</v>
      </c>
      <c r="D102" s="297">
        <v>0.04</v>
      </c>
      <c r="E102" s="296">
        <v>139522000</v>
      </c>
      <c r="F102" s="294">
        <v>0.05</v>
      </c>
      <c r="G102" s="296">
        <f t="shared" si="14"/>
        <v>-36866000</v>
      </c>
      <c r="H102" s="294">
        <v>0.3</v>
      </c>
    </row>
    <row r="103" spans="1:8" ht="15">
      <c r="A103" s="285" t="s">
        <v>369</v>
      </c>
      <c r="B103" s="286">
        <v>20</v>
      </c>
      <c r="C103" s="287">
        <f>+C100+C101-C102</f>
        <v>89207000</v>
      </c>
      <c r="D103" s="288">
        <v>0.03</v>
      </c>
      <c r="E103" s="307">
        <f>+E100+E101-E102</f>
        <v>96953000</v>
      </c>
      <c r="F103" s="289">
        <v>0.03</v>
      </c>
      <c r="G103" s="296">
        <f t="shared" si="14"/>
        <v>-7746000</v>
      </c>
      <c r="H103" s="289">
        <v>-0.08</v>
      </c>
    </row>
    <row r="104" spans="1:8" ht="15">
      <c r="A104" s="290" t="s">
        <v>370</v>
      </c>
      <c r="B104" s="291"/>
      <c r="C104" s="292">
        <v>0</v>
      </c>
      <c r="D104" s="293">
        <v>0</v>
      </c>
      <c r="E104" s="296">
        <v>0</v>
      </c>
      <c r="F104" s="294">
        <v>0</v>
      </c>
      <c r="G104" s="296">
        <f t="shared" si="14"/>
        <v>0</v>
      </c>
      <c r="H104" s="294">
        <v>0</v>
      </c>
    </row>
    <row r="105" spans="1:8" ht="15">
      <c r="A105" s="290" t="s">
        <v>371</v>
      </c>
      <c r="B105" s="295"/>
      <c r="C105" s="296">
        <v>89207000</v>
      </c>
      <c r="D105" s="308">
        <v>3.3000000000000002E-2</v>
      </c>
      <c r="E105" s="296">
        <v>96953000</v>
      </c>
      <c r="F105" s="309" t="s">
        <v>372</v>
      </c>
      <c r="G105" s="296">
        <f t="shared" si="14"/>
        <v>-7746000</v>
      </c>
      <c r="H105" s="310">
        <v>6.4000000000000001E-2</v>
      </c>
    </row>
    <row r="106" spans="1:8" ht="15">
      <c r="A106" s="290" t="s">
        <v>373</v>
      </c>
      <c r="B106" s="291"/>
      <c r="C106" s="292">
        <v>0</v>
      </c>
      <c r="D106" s="297">
        <v>0</v>
      </c>
      <c r="E106" s="296">
        <v>0</v>
      </c>
      <c r="F106" s="309" t="s">
        <v>374</v>
      </c>
      <c r="G106" s="296">
        <f t="shared" si="14"/>
        <v>0</v>
      </c>
      <c r="H106" s="309">
        <v>0</v>
      </c>
    </row>
    <row r="107" spans="1:8" ht="15">
      <c r="A107" s="298" t="s">
        <v>375</v>
      </c>
      <c r="B107" s="311"/>
      <c r="C107" s="312">
        <f>+C105</f>
        <v>89207000</v>
      </c>
      <c r="D107" s="313">
        <v>3.1E-2</v>
      </c>
      <c r="E107" s="312">
        <f>+E105+E106</f>
        <v>96953000</v>
      </c>
      <c r="F107" s="314" t="s">
        <v>376</v>
      </c>
      <c r="G107" s="300">
        <f t="shared" si="14"/>
        <v>-7746000</v>
      </c>
      <c r="H107" s="314"/>
    </row>
  </sheetData>
  <mergeCells count="3">
    <mergeCell ref="A1:H1"/>
    <mergeCell ref="A91:H91"/>
    <mergeCell ref="A92:H92"/>
  </mergeCells>
  <pageMargins left="0.7" right="0.7" top="0.75" bottom="0.75" header="0.3" footer="0.3"/>
  <pageSetup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66"/>
  <sheetViews>
    <sheetView workbookViewId="0">
      <selection activeCell="B44" sqref="B44"/>
    </sheetView>
  </sheetViews>
  <sheetFormatPr baseColWidth="10" defaultRowHeight="15"/>
  <cols>
    <col min="1" max="1" width="28.5703125" style="316" bestFit="1" customWidth="1"/>
    <col min="2" max="2" width="16.5703125" style="316" bestFit="1" customWidth="1"/>
    <col min="3" max="3" width="16.28515625" style="316" bestFit="1" customWidth="1"/>
    <col min="4" max="4" width="19.28515625" style="316" bestFit="1" customWidth="1"/>
  </cols>
  <sheetData>
    <row r="1" spans="1:4" ht="24.75" customHeight="1">
      <c r="A1" s="547" t="s">
        <v>377</v>
      </c>
      <c r="B1" s="547"/>
      <c r="C1" s="547"/>
      <c r="D1" s="547"/>
    </row>
    <row r="2" spans="1:4" ht="24.75" customHeight="1">
      <c r="A2" s="547" t="s">
        <v>378</v>
      </c>
      <c r="B2" s="547"/>
      <c r="C2" s="547"/>
      <c r="D2" s="547"/>
    </row>
    <row r="3" spans="1:4" ht="16.5" customHeight="1">
      <c r="A3" s="546" t="s">
        <v>379</v>
      </c>
      <c r="B3" s="547"/>
      <c r="C3" s="547"/>
      <c r="D3" s="547"/>
    </row>
    <row r="4" spans="1:4">
      <c r="A4" s="315" t="s">
        <v>315</v>
      </c>
      <c r="B4" s="248">
        <v>2020</v>
      </c>
      <c r="C4" s="249">
        <v>2019</v>
      </c>
    </row>
    <row r="5" spans="1:4">
      <c r="A5" s="315" t="s">
        <v>380</v>
      </c>
      <c r="B5" s="317">
        <v>6102911677.2299995</v>
      </c>
      <c r="C5" s="317">
        <v>3080605414.27</v>
      </c>
    </row>
    <row r="6" spans="1:4">
      <c r="A6" s="315" t="s">
        <v>381</v>
      </c>
      <c r="B6" s="317">
        <v>6020687046.6800003</v>
      </c>
      <c r="C6" s="317">
        <v>6162203105.6599998</v>
      </c>
    </row>
    <row r="7" spans="1:4">
      <c r="A7" s="315" t="s">
        <v>382</v>
      </c>
      <c r="B7" s="317">
        <v>39816492.310000002</v>
      </c>
      <c r="C7" s="317">
        <v>1304275643.6700001</v>
      </c>
    </row>
    <row r="8" spans="1:4">
      <c r="A8" s="315" t="s">
        <v>383</v>
      </c>
      <c r="B8" s="317">
        <v>5229894909.25</v>
      </c>
      <c r="C8" s="317">
        <v>5191199744.5900002</v>
      </c>
    </row>
    <row r="9" spans="1:4">
      <c r="A9" s="315" t="s">
        <v>384</v>
      </c>
      <c r="B9" s="317">
        <v>662571929.95000005</v>
      </c>
      <c r="C9" s="317">
        <v>796128317.16999996</v>
      </c>
    </row>
    <row r="10" spans="1:4">
      <c r="A10" s="315" t="s">
        <v>385</v>
      </c>
      <c r="B10" s="317">
        <v>36044086.399999999</v>
      </c>
      <c r="C10" s="317">
        <v>101901578.81999999</v>
      </c>
    </row>
    <row r="11" spans="1:4">
      <c r="A11" s="315" t="s">
        <v>386</v>
      </c>
      <c r="B11" s="317">
        <v>399715645.23000002</v>
      </c>
      <c r="C11" s="317">
        <v>583202861.28999996</v>
      </c>
    </row>
    <row r="12" spans="1:4">
      <c r="A12" s="243" t="s">
        <v>387</v>
      </c>
      <c r="B12" s="318">
        <f>SUM(B5:B11)</f>
        <v>18491641787.050003</v>
      </c>
      <c r="C12" s="318">
        <f>SUM(C5:C11)</f>
        <v>17219516665.470001</v>
      </c>
    </row>
    <row r="13" spans="1:4">
      <c r="A13" s="240"/>
    </row>
    <row r="14" spans="1:4">
      <c r="A14" s="315" t="s">
        <v>388</v>
      </c>
      <c r="B14" s="248">
        <v>2020</v>
      </c>
      <c r="C14" s="249">
        <v>2019</v>
      </c>
    </row>
    <row r="15" spans="1:4">
      <c r="A15" s="315" t="s">
        <v>389</v>
      </c>
      <c r="B15" s="317">
        <v>2144973.2200000002</v>
      </c>
      <c r="C15" s="317">
        <v>181139042.16999999</v>
      </c>
    </row>
    <row r="16" spans="1:4">
      <c r="A16" s="315" t="s">
        <v>390</v>
      </c>
      <c r="B16" s="317">
        <v>9559223671.2199993</v>
      </c>
      <c r="C16" s="317">
        <v>7992650037.9099998</v>
      </c>
    </row>
    <row r="17" spans="1:3">
      <c r="A17" s="315" t="s">
        <v>385</v>
      </c>
      <c r="B17" s="317">
        <v>0</v>
      </c>
      <c r="C17" s="317">
        <v>0</v>
      </c>
    </row>
    <row r="18" spans="1:3">
      <c r="A18" s="315" t="s">
        <v>386</v>
      </c>
      <c r="B18" s="317">
        <v>3107426843.4000001</v>
      </c>
      <c r="C18" s="317">
        <v>3431157946.7800002</v>
      </c>
    </row>
    <row r="19" spans="1:3">
      <c r="A19" s="243" t="s">
        <v>344</v>
      </c>
      <c r="B19" s="318">
        <f>SUM(B15:B18)</f>
        <v>12668795487.839998</v>
      </c>
      <c r="C19" s="318">
        <f>SUM(C15:C18)</f>
        <v>11604947026.860001</v>
      </c>
    </row>
    <row r="20" spans="1:3">
      <c r="A20" s="240"/>
    </row>
    <row r="21" spans="1:3">
      <c r="A21" s="315" t="s">
        <v>391</v>
      </c>
      <c r="B21" s="248">
        <v>2020</v>
      </c>
      <c r="C21" s="249">
        <v>2019</v>
      </c>
    </row>
    <row r="22" spans="1:3">
      <c r="A22" s="315" t="s">
        <v>392</v>
      </c>
      <c r="B22" s="317">
        <v>2439274584.0999999</v>
      </c>
      <c r="C22" s="317">
        <v>2439274584.0999999</v>
      </c>
    </row>
    <row r="23" spans="1:3">
      <c r="A23" s="315" t="s">
        <v>393</v>
      </c>
      <c r="B23" s="317">
        <v>1303454676.71</v>
      </c>
      <c r="C23" s="317">
        <v>1303454676.71</v>
      </c>
    </row>
    <row r="24" spans="1:3">
      <c r="A24" s="315" t="s">
        <v>394</v>
      </c>
      <c r="B24" s="317">
        <v>160274.56</v>
      </c>
      <c r="C24" s="317">
        <v>160274.56</v>
      </c>
    </row>
    <row r="25" spans="1:3">
      <c r="A25" s="315" t="s">
        <v>395</v>
      </c>
      <c r="B25" s="317">
        <v>290658.01</v>
      </c>
      <c r="C25" s="317">
        <v>290658.01</v>
      </c>
    </row>
    <row r="26" spans="1:3">
      <c r="A26" s="315" t="s">
        <v>396</v>
      </c>
      <c r="B26" s="317">
        <v>2079666105.8399999</v>
      </c>
      <c r="C26" s="317">
        <v>1871389400.8099999</v>
      </c>
    </row>
    <row r="27" spans="1:3">
      <c r="A27" s="243" t="s">
        <v>397</v>
      </c>
      <c r="B27" s="318">
        <f>SUM(B22:B26)</f>
        <v>5822846299.2200003</v>
      </c>
      <c r="C27" s="318">
        <f>SUM(C22:C26)</f>
        <v>5614569594.1900005</v>
      </c>
    </row>
    <row r="28" spans="1:3">
      <c r="A28" s="240"/>
      <c r="B28" s="317"/>
    </row>
    <row r="29" spans="1:3">
      <c r="A29" s="319" t="s">
        <v>398</v>
      </c>
      <c r="B29" s="320">
        <f>+B19+B27</f>
        <v>18491641787.059998</v>
      </c>
      <c r="C29" s="320">
        <f>+C19+C27</f>
        <v>17219516621.050003</v>
      </c>
    </row>
    <row r="34" spans="1:4">
      <c r="A34" s="546" t="s">
        <v>399</v>
      </c>
      <c r="B34" s="547"/>
      <c r="C34" s="547"/>
      <c r="D34" s="547"/>
    </row>
    <row r="35" spans="1:4">
      <c r="A35" s="546" t="s">
        <v>400</v>
      </c>
      <c r="B35" s="547"/>
      <c r="C35" s="547"/>
      <c r="D35" s="547"/>
    </row>
    <row r="36" spans="1:4">
      <c r="A36" s="546" t="s">
        <v>379</v>
      </c>
      <c r="B36" s="547"/>
      <c r="C36" s="547"/>
      <c r="D36" s="547"/>
    </row>
    <row r="38" spans="1:4">
      <c r="A38" s="240" t="s">
        <v>401</v>
      </c>
      <c r="B38" s="248">
        <v>2020</v>
      </c>
      <c r="C38" s="249">
        <v>2019</v>
      </c>
    </row>
    <row r="39" spans="1:4">
      <c r="A39" s="240" t="s">
        <v>402</v>
      </c>
    </row>
    <row r="40" spans="1:4">
      <c r="A40" s="240" t="s">
        <v>403</v>
      </c>
      <c r="B40" s="317">
        <v>17456515462.169998</v>
      </c>
      <c r="C40" s="317">
        <v>20193582291.380001</v>
      </c>
    </row>
    <row r="41" spans="1:4">
      <c r="A41" s="240" t="s">
        <v>404</v>
      </c>
      <c r="B41" s="317">
        <v>-1087431114.4000001</v>
      </c>
      <c r="C41" s="317">
        <v>-1363262173.8900001</v>
      </c>
    </row>
    <row r="42" spans="1:4">
      <c r="A42" s="240" t="s">
        <v>405</v>
      </c>
      <c r="B42" s="317">
        <v>2929951050.6999998</v>
      </c>
      <c r="C42" s="317">
        <v>1411386695.47</v>
      </c>
    </row>
    <row r="43" spans="1:4">
      <c r="A43" s="240" t="s">
        <v>406</v>
      </c>
      <c r="B43" s="317">
        <v>-578061.42000000004</v>
      </c>
      <c r="C43" s="317">
        <v>-3245295.99</v>
      </c>
    </row>
    <row r="44" spans="1:4">
      <c r="A44" s="243" t="s">
        <v>407</v>
      </c>
      <c r="B44" s="318">
        <f>SUM(B40:B43)</f>
        <v>19298457337.049999</v>
      </c>
      <c r="C44" s="318">
        <f>SUM(C40:C43)</f>
        <v>20238461516.970001</v>
      </c>
      <c r="D44" s="368">
        <f>+(C44/B44)-1</f>
        <v>4.8708773116042936E-2</v>
      </c>
    </row>
    <row r="45" spans="1:4">
      <c r="A45" s="240"/>
      <c r="B45" s="317"/>
      <c r="C45" s="317"/>
    </row>
    <row r="46" spans="1:4">
      <c r="A46" s="240" t="s">
        <v>408</v>
      </c>
      <c r="B46" s="317">
        <v>752925370.85000002</v>
      </c>
      <c r="C46" s="317">
        <v>647445567.25999999</v>
      </c>
    </row>
    <row r="47" spans="1:4">
      <c r="A47" s="240" t="s">
        <v>409</v>
      </c>
      <c r="B47" s="317">
        <v>-15880777859.690001</v>
      </c>
      <c r="C47" s="317">
        <v>-18536475409.529999</v>
      </c>
    </row>
    <row r="48" spans="1:4">
      <c r="A48" s="243" t="s">
        <v>410</v>
      </c>
      <c r="B48" s="318">
        <f>+B44+B46+B47</f>
        <v>4170604848.2099972</v>
      </c>
      <c r="C48" s="318">
        <f>+C44+C46+C47</f>
        <v>2349431674.7000008</v>
      </c>
      <c r="D48" s="317"/>
    </row>
    <row r="49" spans="1:4">
      <c r="A49" s="240"/>
      <c r="B49" s="317"/>
      <c r="C49" s="317"/>
    </row>
    <row r="50" spans="1:4">
      <c r="A50" s="240" t="s">
        <v>411</v>
      </c>
      <c r="B50" s="317">
        <v>-130006093.04000001</v>
      </c>
      <c r="C50" s="317">
        <v>-283867880.52999997</v>
      </c>
    </row>
    <row r="51" spans="1:4">
      <c r="A51" s="240" t="s">
        <v>412</v>
      </c>
      <c r="B51" s="317">
        <v>-1164089372.5599999</v>
      </c>
      <c r="C51" s="317"/>
    </row>
    <row r="52" spans="1:4">
      <c r="A52" s="243" t="s">
        <v>413</v>
      </c>
      <c r="B52" s="318">
        <f>+B48+B50+B51</f>
        <v>2876509382.6099973</v>
      </c>
      <c r="C52" s="318">
        <f>+C48+C50+C51</f>
        <v>2065563794.1700008</v>
      </c>
      <c r="D52" s="317"/>
    </row>
    <row r="53" spans="1:4">
      <c r="A53" s="240"/>
    </row>
    <row r="54" spans="1:4">
      <c r="A54" s="240" t="s">
        <v>414</v>
      </c>
      <c r="B54" s="317">
        <v>0</v>
      </c>
      <c r="C54" s="317">
        <v>250703704.33000001</v>
      </c>
    </row>
    <row r="55" spans="1:4">
      <c r="A55" s="240" t="s">
        <v>415</v>
      </c>
      <c r="B55" s="317">
        <v>0</v>
      </c>
      <c r="C55" s="317">
        <v>28648591.309999999</v>
      </c>
    </row>
    <row r="56" spans="1:4">
      <c r="A56" s="240" t="s">
        <v>416</v>
      </c>
      <c r="B56" s="317">
        <v>21756974.140000001</v>
      </c>
      <c r="C56" s="317">
        <v>73026266.049999997</v>
      </c>
    </row>
    <row r="57" spans="1:4">
      <c r="A57" s="240" t="s">
        <v>417</v>
      </c>
      <c r="B57" s="317">
        <v>-1304495.3899999999</v>
      </c>
      <c r="C57" s="317">
        <v>-7292.28</v>
      </c>
    </row>
    <row r="58" spans="1:4">
      <c r="A58" s="240" t="s">
        <v>416</v>
      </c>
      <c r="B58" s="317">
        <v>-37358806.530000001</v>
      </c>
      <c r="C58" s="317">
        <v>-56481958.390000001</v>
      </c>
    </row>
    <row r="59" spans="1:4">
      <c r="A59" s="240" t="s">
        <v>418</v>
      </c>
      <c r="B59" s="317">
        <v>9609358.9399999995</v>
      </c>
      <c r="C59" s="317"/>
    </row>
    <row r="60" spans="1:4">
      <c r="A60" s="243" t="s">
        <v>419</v>
      </c>
      <c r="B60" s="318">
        <f>SUM(B52:B59)</f>
        <v>2869212413.7699971</v>
      </c>
      <c r="C60" s="318">
        <f>SUM(C52:C59)</f>
        <v>2361453105.190001</v>
      </c>
      <c r="D60" s="317"/>
    </row>
    <row r="61" spans="1:4">
      <c r="A61" s="240"/>
    </row>
    <row r="62" spans="1:4">
      <c r="A62" s="240" t="s">
        <v>420</v>
      </c>
      <c r="B62" s="317">
        <v>-789546307.91999996</v>
      </c>
      <c r="C62" s="317">
        <v>-490063704.38999999</v>
      </c>
    </row>
    <row r="63" spans="1:4">
      <c r="A63" s="240"/>
    </row>
    <row r="64" spans="1:4">
      <c r="A64" s="243" t="s">
        <v>75</v>
      </c>
      <c r="B64" s="320">
        <f>SUM(B60:B62)</f>
        <v>2079666105.849997</v>
      </c>
      <c r="C64" s="320">
        <f>SUM(C60:C62)</f>
        <v>1871389400.8000011</v>
      </c>
    </row>
    <row r="65" spans="1:1">
      <c r="A65" s="240"/>
    </row>
    <row r="66" spans="1:1">
      <c r="A66" s="240"/>
    </row>
  </sheetData>
  <mergeCells count="6">
    <mergeCell ref="A36:D36"/>
    <mergeCell ref="A1:D1"/>
    <mergeCell ref="A2:D2"/>
    <mergeCell ref="A3:D3"/>
    <mergeCell ref="A34:D34"/>
    <mergeCell ref="A35:D35"/>
  </mergeCells>
  <pageMargins left="0.7" right="0.7" top="0.75" bottom="0.75" header="0.3" footer="0.3"/>
  <pageSetup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88"/>
  <sheetViews>
    <sheetView topLeftCell="A4" workbookViewId="0">
      <selection activeCell="F28" sqref="F28"/>
    </sheetView>
  </sheetViews>
  <sheetFormatPr baseColWidth="10" defaultRowHeight="15"/>
  <cols>
    <col min="1" max="1" width="52.140625" style="321" bestFit="1" customWidth="1"/>
    <col min="2" max="5" width="8.85546875" style="321" customWidth="1"/>
    <col min="6" max="6" width="12" style="321" bestFit="1" customWidth="1"/>
    <col min="7" max="7" width="16.42578125" bestFit="1" customWidth="1"/>
  </cols>
  <sheetData>
    <row r="1" spans="1:6" ht="46.5" customHeight="1" thickBot="1">
      <c r="A1" s="548" t="s">
        <v>421</v>
      </c>
      <c r="B1" s="548"/>
      <c r="C1" s="548"/>
      <c r="D1" s="548"/>
      <c r="E1" s="548"/>
    </row>
    <row r="2" spans="1:6">
      <c r="B2" s="322">
        <v>2020</v>
      </c>
      <c r="C2" s="323">
        <v>2019</v>
      </c>
      <c r="D2" s="323">
        <v>2018</v>
      </c>
      <c r="E2" s="323">
        <v>2017</v>
      </c>
    </row>
    <row r="3" spans="1:6" ht="15.75" thickBot="1">
      <c r="B3" s="324">
        <v>44561</v>
      </c>
      <c r="C3" s="325">
        <v>44561</v>
      </c>
      <c r="D3" s="325">
        <v>44561</v>
      </c>
      <c r="E3" s="325">
        <v>44561</v>
      </c>
    </row>
    <row r="4" spans="1:6" ht="16.5" thickTop="1" thickBot="1">
      <c r="A4" s="326" t="s">
        <v>422</v>
      </c>
      <c r="B4" s="327">
        <v>0</v>
      </c>
      <c r="C4" s="327">
        <v>0</v>
      </c>
      <c r="D4" s="327">
        <v>0</v>
      </c>
      <c r="E4" s="328">
        <v>0</v>
      </c>
    </row>
    <row r="5" spans="1:6" ht="15.75" thickBot="1">
      <c r="A5" s="329" t="s">
        <v>423</v>
      </c>
      <c r="B5" s="330">
        <v>6331464</v>
      </c>
      <c r="C5" s="330">
        <v>6191460</v>
      </c>
      <c r="D5" s="330">
        <v>6690204</v>
      </c>
      <c r="E5" s="330">
        <v>5238000</v>
      </c>
    </row>
    <row r="6" spans="1:6" ht="16.5" thickTop="1" thickBot="1">
      <c r="A6" s="331" t="s">
        <v>424</v>
      </c>
      <c r="B6" s="332">
        <v>0</v>
      </c>
      <c r="C6" s="332">
        <v>0</v>
      </c>
      <c r="D6" s="332">
        <v>0</v>
      </c>
      <c r="E6" s="332">
        <v>0</v>
      </c>
    </row>
    <row r="7" spans="1:6" ht="16.5" thickTop="1" thickBot="1">
      <c r="A7" s="333" t="s">
        <v>425</v>
      </c>
      <c r="B7" s="332">
        <v>601776</v>
      </c>
      <c r="C7" s="332">
        <v>655596</v>
      </c>
      <c r="D7" s="332">
        <v>599148</v>
      </c>
      <c r="E7" s="332">
        <v>768564</v>
      </c>
    </row>
    <row r="8" spans="1:6" ht="16.5" thickTop="1" thickBot="1">
      <c r="A8" s="333" t="s">
        <v>426</v>
      </c>
      <c r="B8" s="332">
        <v>0</v>
      </c>
      <c r="C8" s="332">
        <v>0</v>
      </c>
      <c r="D8" s="332">
        <v>0</v>
      </c>
      <c r="E8" s="332">
        <v>0</v>
      </c>
    </row>
    <row r="9" spans="1:6" ht="16.5" thickTop="1" thickBot="1">
      <c r="A9" s="333" t="s">
        <v>427</v>
      </c>
      <c r="B9" s="332">
        <v>0</v>
      </c>
      <c r="C9" s="332">
        <v>0</v>
      </c>
      <c r="D9" s="332">
        <v>0</v>
      </c>
      <c r="E9" s="332">
        <v>0</v>
      </c>
    </row>
    <row r="10" spans="1:6" ht="16.5" thickTop="1" thickBot="1">
      <c r="A10" s="333" t="s">
        <v>428</v>
      </c>
      <c r="B10" s="332">
        <v>247500</v>
      </c>
      <c r="C10" s="332">
        <v>204984</v>
      </c>
      <c r="D10" s="332">
        <v>125964</v>
      </c>
      <c r="E10" s="332">
        <v>118331.99999999999</v>
      </c>
    </row>
    <row r="11" spans="1:6" ht="16.5" thickTop="1" thickBot="1">
      <c r="A11" s="333" t="s">
        <v>429</v>
      </c>
      <c r="B11" s="332">
        <v>311760</v>
      </c>
      <c r="C11" s="332">
        <v>258551.99999999997</v>
      </c>
      <c r="D11" s="332">
        <v>176724</v>
      </c>
      <c r="E11" s="332">
        <v>157320</v>
      </c>
    </row>
    <row r="12" spans="1:6" ht="16.5" thickTop="1" thickBot="1">
      <c r="A12" s="333" t="s">
        <v>430</v>
      </c>
      <c r="B12" s="332">
        <v>-80028</v>
      </c>
      <c r="C12" s="332">
        <v>-69336</v>
      </c>
      <c r="D12" s="332">
        <v>-50724</v>
      </c>
      <c r="E12" s="332">
        <v>-38988</v>
      </c>
    </row>
    <row r="13" spans="1:6" ht="16.5" thickTop="1" thickBot="1">
      <c r="A13" s="333" t="s">
        <v>431</v>
      </c>
      <c r="B13" s="332">
        <v>0</v>
      </c>
      <c r="C13" s="332">
        <v>0</v>
      </c>
      <c r="D13" s="332">
        <v>0</v>
      </c>
      <c r="E13" s="332">
        <v>0</v>
      </c>
    </row>
    <row r="14" spans="1:6" ht="16.5" thickTop="1" thickBot="1">
      <c r="A14" s="333" t="s">
        <v>432</v>
      </c>
      <c r="B14" s="332">
        <v>0</v>
      </c>
      <c r="C14" s="332">
        <v>0</v>
      </c>
      <c r="D14" s="332">
        <v>0</v>
      </c>
      <c r="E14" s="332">
        <v>0</v>
      </c>
    </row>
    <row r="15" spans="1:6" ht="16.5" thickTop="1" thickBot="1">
      <c r="A15" s="333" t="s">
        <v>433</v>
      </c>
      <c r="B15" s="332">
        <v>3257100</v>
      </c>
      <c r="C15" s="332">
        <v>3236400</v>
      </c>
      <c r="D15" s="332">
        <v>3181392</v>
      </c>
      <c r="E15" s="332">
        <v>2561580</v>
      </c>
      <c r="F15" s="372">
        <f>+B15*3800</f>
        <v>12376980000</v>
      </c>
    </row>
    <row r="16" spans="1:6" ht="16.5" thickTop="1" thickBot="1">
      <c r="A16" s="333" t="s">
        <v>434</v>
      </c>
      <c r="B16" s="332">
        <v>240767.99999999997</v>
      </c>
      <c r="C16" s="332">
        <v>229968</v>
      </c>
      <c r="D16" s="332">
        <v>215496</v>
      </c>
      <c r="E16" s="332">
        <v>203400</v>
      </c>
    </row>
    <row r="17" spans="1:5" ht="16.5" thickTop="1" thickBot="1">
      <c r="A17" s="333" t="s">
        <v>435</v>
      </c>
      <c r="B17" s="332">
        <v>110088</v>
      </c>
      <c r="C17" s="332">
        <v>123408</v>
      </c>
      <c r="D17" s="332">
        <v>40176</v>
      </c>
      <c r="E17" s="332">
        <v>34092</v>
      </c>
    </row>
    <row r="18" spans="1:5" ht="16.5" thickTop="1" thickBot="1">
      <c r="A18" s="333" t="s">
        <v>436</v>
      </c>
      <c r="B18" s="332">
        <v>68400</v>
      </c>
      <c r="C18" s="332">
        <v>21564</v>
      </c>
      <c r="D18" s="332">
        <v>61991.999999999993</v>
      </c>
      <c r="E18" s="332">
        <v>42912</v>
      </c>
    </row>
    <row r="19" spans="1:5" ht="16.5" thickTop="1" thickBot="1">
      <c r="A19" s="333" t="s">
        <v>437</v>
      </c>
      <c r="B19" s="332">
        <v>398196</v>
      </c>
      <c r="C19" s="332">
        <v>330768</v>
      </c>
      <c r="D19" s="332">
        <v>304884</v>
      </c>
      <c r="E19" s="332">
        <v>263016</v>
      </c>
    </row>
    <row r="20" spans="1:5" ht="16.5" thickTop="1" thickBot="1">
      <c r="A20" s="333" t="s">
        <v>438</v>
      </c>
      <c r="B20" s="332">
        <v>1407672</v>
      </c>
      <c r="C20" s="332">
        <v>1388772</v>
      </c>
      <c r="D20" s="332">
        <v>2161188</v>
      </c>
      <c r="E20" s="332">
        <v>1246140</v>
      </c>
    </row>
    <row r="21" spans="1:5" ht="16.5" thickTop="1" thickBot="1">
      <c r="A21" s="334" t="s">
        <v>439</v>
      </c>
      <c r="B21" s="332">
        <v>0</v>
      </c>
      <c r="C21" s="332">
        <v>0</v>
      </c>
      <c r="D21" s="332">
        <v>0</v>
      </c>
      <c r="E21" s="332">
        <v>0</v>
      </c>
    </row>
    <row r="22" spans="1:5" ht="15.75" thickBot="1">
      <c r="A22" s="329" t="s">
        <v>440</v>
      </c>
      <c r="B22" s="330">
        <v>4714128</v>
      </c>
      <c r="C22" s="330">
        <v>4413420</v>
      </c>
      <c r="D22" s="330">
        <v>4884336</v>
      </c>
      <c r="E22" s="335">
        <v>3654036</v>
      </c>
    </row>
    <row r="23" spans="1:5" ht="16.5" thickTop="1" thickBot="1">
      <c r="A23" s="331" t="s">
        <v>441</v>
      </c>
      <c r="B23" s="332">
        <v>0</v>
      </c>
      <c r="C23" s="332">
        <v>0</v>
      </c>
      <c r="D23" s="332">
        <v>0</v>
      </c>
      <c r="E23" s="332">
        <v>0</v>
      </c>
    </row>
    <row r="24" spans="1:5" ht="16.5" thickTop="1" thickBot="1">
      <c r="A24" s="333" t="s">
        <v>442</v>
      </c>
      <c r="B24" s="332">
        <v>0</v>
      </c>
      <c r="C24" s="332">
        <v>0</v>
      </c>
      <c r="D24" s="332">
        <v>0</v>
      </c>
      <c r="E24" s="332">
        <v>0</v>
      </c>
    </row>
    <row r="25" spans="1:5" ht="16.5" thickTop="1" thickBot="1">
      <c r="A25" s="333" t="s">
        <v>443</v>
      </c>
      <c r="B25" s="332">
        <v>188424</v>
      </c>
      <c r="C25" s="332">
        <v>147348</v>
      </c>
      <c r="D25" s="332">
        <v>163512</v>
      </c>
      <c r="E25" s="332">
        <v>162360</v>
      </c>
    </row>
    <row r="26" spans="1:5" ht="16.5" thickTop="1" thickBot="1">
      <c r="A26" s="333" t="s">
        <v>444</v>
      </c>
      <c r="B26" s="332">
        <v>4017276.0000000005</v>
      </c>
      <c r="C26" s="332">
        <v>3785831.9999999995</v>
      </c>
      <c r="D26" s="332">
        <v>4204116</v>
      </c>
      <c r="E26" s="332">
        <v>3208500</v>
      </c>
    </row>
    <row r="27" spans="1:5" ht="16.5" thickTop="1" thickBot="1">
      <c r="A27" s="333" t="s">
        <v>445</v>
      </c>
      <c r="B27" s="332">
        <v>213840</v>
      </c>
      <c r="C27" s="332">
        <v>325440</v>
      </c>
      <c r="D27" s="332">
        <v>370224</v>
      </c>
      <c r="E27" s="332">
        <v>132192</v>
      </c>
    </row>
    <row r="28" spans="1:5" ht="16.5" thickTop="1" thickBot="1">
      <c r="A28" s="333" t="s">
        <v>446</v>
      </c>
      <c r="B28" s="332">
        <v>5292</v>
      </c>
      <c r="C28" s="332">
        <v>5292</v>
      </c>
      <c r="D28" s="332">
        <v>5292</v>
      </c>
      <c r="E28" s="332">
        <v>5292</v>
      </c>
    </row>
    <row r="29" spans="1:5" ht="16.5" thickTop="1" thickBot="1">
      <c r="A29" s="333" t="s">
        <v>447</v>
      </c>
      <c r="B29" s="332">
        <v>85716</v>
      </c>
      <c r="C29" s="332">
        <v>7560</v>
      </c>
      <c r="D29" s="332">
        <v>11016</v>
      </c>
      <c r="E29" s="332">
        <v>10332</v>
      </c>
    </row>
    <row r="30" spans="1:5" ht="16.5" thickTop="1" thickBot="1">
      <c r="A30" s="333" t="s">
        <v>448</v>
      </c>
      <c r="B30" s="332">
        <v>25164</v>
      </c>
      <c r="C30" s="332">
        <v>30456.000000000004</v>
      </c>
      <c r="D30" s="332">
        <v>35748</v>
      </c>
      <c r="E30" s="332">
        <v>41040</v>
      </c>
    </row>
    <row r="31" spans="1:5" ht="16.5" thickTop="1" thickBot="1">
      <c r="A31" s="333" t="s">
        <v>449</v>
      </c>
      <c r="B31" s="332">
        <v>25164</v>
      </c>
      <c r="C31" s="332">
        <v>30456.000000000004</v>
      </c>
      <c r="D31" s="332">
        <v>35748</v>
      </c>
      <c r="E31" s="332">
        <v>41040</v>
      </c>
    </row>
    <row r="32" spans="1:5" ht="16.5" thickTop="1" thickBot="1">
      <c r="A32" s="333" t="s">
        <v>450</v>
      </c>
      <c r="B32" s="332">
        <v>0</v>
      </c>
      <c r="C32" s="332">
        <v>0</v>
      </c>
      <c r="D32" s="332">
        <v>0</v>
      </c>
      <c r="E32" s="332">
        <v>0</v>
      </c>
    </row>
    <row r="33" spans="1:6" ht="16.5" thickTop="1" thickBot="1">
      <c r="A33" s="333" t="s">
        <v>451</v>
      </c>
      <c r="B33" s="332">
        <v>0</v>
      </c>
      <c r="C33" s="332">
        <v>0</v>
      </c>
      <c r="D33" s="332">
        <v>0</v>
      </c>
      <c r="E33" s="332">
        <v>0</v>
      </c>
    </row>
    <row r="34" spans="1:6" ht="16.5" thickTop="1" thickBot="1">
      <c r="A34" s="333" t="s">
        <v>452</v>
      </c>
      <c r="B34" s="332">
        <v>0</v>
      </c>
      <c r="C34" s="332">
        <v>0</v>
      </c>
      <c r="D34" s="332">
        <v>0</v>
      </c>
      <c r="E34" s="332">
        <v>0</v>
      </c>
    </row>
    <row r="35" spans="1:6" ht="16.5" thickTop="1" thickBot="1">
      <c r="A35" s="333" t="s">
        <v>453</v>
      </c>
      <c r="B35" s="332">
        <v>178416</v>
      </c>
      <c r="C35" s="332">
        <v>111528</v>
      </c>
      <c r="D35" s="332">
        <v>94392</v>
      </c>
      <c r="E35" s="332">
        <v>94392</v>
      </c>
    </row>
    <row r="36" spans="1:6" ht="15.75" thickBot="1">
      <c r="A36" s="329" t="s">
        <v>454</v>
      </c>
      <c r="B36" s="330">
        <v>1617336</v>
      </c>
      <c r="C36" s="330">
        <v>1778040</v>
      </c>
      <c r="D36" s="330">
        <v>1805868</v>
      </c>
      <c r="E36" s="335">
        <v>1583964</v>
      </c>
      <c r="F36" s="372">
        <f>+B36*3800</f>
        <v>6145876800</v>
      </c>
    </row>
    <row r="37" spans="1:6" ht="16.5" thickTop="1" thickBot="1">
      <c r="A37" s="331" t="s">
        <v>455</v>
      </c>
      <c r="B37" s="332">
        <v>0</v>
      </c>
      <c r="C37" s="332">
        <v>0</v>
      </c>
      <c r="D37" s="332">
        <v>0</v>
      </c>
      <c r="E37" s="332">
        <v>0</v>
      </c>
    </row>
    <row r="38" spans="1:6" ht="16.5" thickTop="1" thickBot="1">
      <c r="A38" s="333" t="s">
        <v>431</v>
      </c>
      <c r="B38" s="332">
        <v>0</v>
      </c>
      <c r="C38" s="332">
        <v>0</v>
      </c>
      <c r="D38" s="332">
        <v>0</v>
      </c>
      <c r="E38" s="332">
        <v>0</v>
      </c>
    </row>
    <row r="39" spans="1:6" ht="16.5" thickTop="1" thickBot="1">
      <c r="A39" s="333" t="s">
        <v>456</v>
      </c>
      <c r="B39" s="332">
        <v>1692</v>
      </c>
      <c r="C39" s="332">
        <v>1692</v>
      </c>
      <c r="D39" s="332">
        <v>1692</v>
      </c>
      <c r="E39" s="332">
        <v>1656</v>
      </c>
    </row>
    <row r="40" spans="1:6" ht="16.5" thickTop="1" thickBot="1">
      <c r="A40" s="333" t="s">
        <v>457</v>
      </c>
      <c r="B40" s="332">
        <v>372384</v>
      </c>
      <c r="C40" s="332">
        <v>345744</v>
      </c>
      <c r="D40" s="332">
        <v>310860</v>
      </c>
      <c r="E40" s="332">
        <v>310284</v>
      </c>
    </row>
    <row r="41" spans="1:6" ht="16.5" thickTop="1" thickBot="1">
      <c r="A41" s="333" t="s">
        <v>458</v>
      </c>
      <c r="B41" s="332">
        <v>2043036</v>
      </c>
      <c r="C41" s="332">
        <v>2065032</v>
      </c>
      <c r="D41" s="332">
        <v>1991592</v>
      </c>
      <c r="E41" s="332">
        <v>1673100</v>
      </c>
    </row>
    <row r="42" spans="1:6" ht="16.5" thickTop="1" thickBot="1">
      <c r="A42" s="333" t="s">
        <v>459</v>
      </c>
      <c r="B42" s="332">
        <v>-811836</v>
      </c>
      <c r="C42" s="332">
        <v>-707724</v>
      </c>
      <c r="D42" s="332">
        <v>-469440</v>
      </c>
      <c r="E42" s="332">
        <v>-378432</v>
      </c>
    </row>
    <row r="43" spans="1:6" ht="16.5" thickTop="1" thickBot="1">
      <c r="A43" s="333" t="s">
        <v>460</v>
      </c>
      <c r="B43" s="332">
        <v>0</v>
      </c>
      <c r="C43" s="332">
        <v>0</v>
      </c>
      <c r="D43" s="332">
        <v>0</v>
      </c>
      <c r="E43" s="332">
        <v>0</v>
      </c>
    </row>
    <row r="44" spans="1:6" ht="16.5" thickTop="1" thickBot="1">
      <c r="A44" s="333" t="s">
        <v>461</v>
      </c>
      <c r="B44" s="332">
        <v>0</v>
      </c>
      <c r="C44" s="332">
        <v>0</v>
      </c>
      <c r="D44" s="332">
        <v>0</v>
      </c>
      <c r="E44" s="332">
        <v>0</v>
      </c>
    </row>
    <row r="45" spans="1:6" ht="16.5" thickTop="1" thickBot="1">
      <c r="A45" s="333" t="s">
        <v>462</v>
      </c>
      <c r="B45" s="332">
        <v>12024</v>
      </c>
      <c r="C45" s="332">
        <v>73296</v>
      </c>
      <c r="D45" s="332">
        <v>-28836</v>
      </c>
      <c r="E45" s="332">
        <v>-22608</v>
      </c>
    </row>
    <row r="46" spans="1:6" ht="16.5" thickTop="1" thickBot="1">
      <c r="A46" s="334" t="s">
        <v>463</v>
      </c>
      <c r="B46" s="332">
        <v>6331464</v>
      </c>
      <c r="C46" s="332">
        <v>6191460</v>
      </c>
      <c r="D46" s="332">
        <v>6690204</v>
      </c>
      <c r="E46" s="332">
        <v>5238000</v>
      </c>
    </row>
    <row r="47" spans="1:6" ht="16.5" thickTop="1" thickBot="1">
      <c r="A47" s="334" t="s">
        <v>464</v>
      </c>
      <c r="B47" s="332">
        <v>112104</v>
      </c>
      <c r="C47" s="332">
        <v>117504</v>
      </c>
      <c r="D47" s="332">
        <v>125208</v>
      </c>
      <c r="E47" s="332">
        <v>125027.99999999999</v>
      </c>
    </row>
    <row r="48" spans="1:6" ht="16.5" thickTop="1" thickBot="1">
      <c r="A48" s="336" t="s">
        <v>465</v>
      </c>
      <c r="B48" s="327">
        <v>36</v>
      </c>
      <c r="C48" s="327">
        <v>36</v>
      </c>
      <c r="D48" s="327">
        <v>36</v>
      </c>
      <c r="E48" s="327">
        <v>36</v>
      </c>
    </row>
    <row r="49" spans="1:7">
      <c r="A49" s="337" t="s">
        <v>466</v>
      </c>
    </row>
    <row r="50" spans="1:7">
      <c r="A50" s="337"/>
    </row>
    <row r="51" spans="1:7">
      <c r="A51" s="337"/>
    </row>
    <row r="52" spans="1:7" ht="45" customHeight="1" thickBot="1">
      <c r="A52" s="548" t="s">
        <v>467</v>
      </c>
      <c r="B52" s="549"/>
      <c r="C52" s="549"/>
      <c r="D52" s="549"/>
      <c r="E52" s="549"/>
      <c r="F52" s="549"/>
    </row>
    <row r="53" spans="1:7">
      <c r="B53" s="338">
        <v>2020</v>
      </c>
      <c r="C53" s="339">
        <v>2019</v>
      </c>
      <c r="D53" s="339">
        <v>2018</v>
      </c>
      <c r="E53" s="339">
        <v>2017</v>
      </c>
    </row>
    <row r="54" spans="1:7" ht="15.75" thickBot="1">
      <c r="B54" s="340">
        <v>44561</v>
      </c>
      <c r="C54" s="341">
        <v>44561</v>
      </c>
      <c r="D54" s="341">
        <v>44561</v>
      </c>
      <c r="E54" s="341">
        <v>44561</v>
      </c>
    </row>
    <row r="55" spans="1:7" ht="16.5" thickTop="1" thickBot="1">
      <c r="A55" s="342" t="s">
        <v>468</v>
      </c>
      <c r="B55" s="343">
        <v>3861972</v>
      </c>
      <c r="C55" s="343">
        <v>3381660</v>
      </c>
      <c r="D55" s="343">
        <v>2965752</v>
      </c>
      <c r="E55" s="343">
        <v>2706912</v>
      </c>
      <c r="G55" s="363">
        <f>+E55*3800</f>
        <v>10286265600</v>
      </c>
    </row>
    <row r="56" spans="1:7" ht="16.5" thickTop="1" thickBot="1">
      <c r="A56" s="344" t="s">
        <v>469</v>
      </c>
      <c r="B56" s="345">
        <v>3560400</v>
      </c>
      <c r="C56" s="345">
        <v>3233268</v>
      </c>
      <c r="D56" s="345">
        <v>2945736</v>
      </c>
      <c r="E56" s="345">
        <v>2649204</v>
      </c>
      <c r="G56" s="363">
        <f>+B55*3800</f>
        <v>14675493600</v>
      </c>
    </row>
    <row r="57" spans="1:7" ht="16.5" thickTop="1" thickBot="1">
      <c r="A57" s="346" t="s">
        <v>470</v>
      </c>
      <c r="B57" s="345">
        <v>73404</v>
      </c>
      <c r="C57" s="345">
        <v>110664</v>
      </c>
      <c r="D57" s="345">
        <v>89352</v>
      </c>
      <c r="E57" s="345">
        <v>48456</v>
      </c>
    </row>
    <row r="58" spans="1:7" ht="16.5" thickTop="1" thickBot="1">
      <c r="A58" s="346" t="s">
        <v>471</v>
      </c>
      <c r="B58" s="345">
        <v>228168</v>
      </c>
      <c r="C58" s="345">
        <v>37692</v>
      </c>
      <c r="D58" s="345">
        <v>-69336</v>
      </c>
      <c r="E58" s="345">
        <v>9252</v>
      </c>
    </row>
    <row r="59" spans="1:7" ht="16.5" thickTop="1" thickBot="1">
      <c r="A59" s="346" t="s">
        <v>472</v>
      </c>
      <c r="B59" s="345">
        <v>0</v>
      </c>
      <c r="C59" s="345">
        <v>0</v>
      </c>
      <c r="D59" s="345">
        <v>0</v>
      </c>
      <c r="E59" s="345">
        <v>0</v>
      </c>
    </row>
    <row r="60" spans="1:7" ht="16.5" thickTop="1" thickBot="1">
      <c r="A60" s="347" t="s">
        <v>473</v>
      </c>
      <c r="B60" s="343">
        <v>3774744</v>
      </c>
      <c r="C60" s="343">
        <v>3152988</v>
      </c>
      <c r="D60" s="343">
        <v>2415384</v>
      </c>
      <c r="E60" s="343">
        <v>2093147.9999999998</v>
      </c>
    </row>
    <row r="61" spans="1:7" ht="16.5" thickTop="1" thickBot="1">
      <c r="A61" s="344" t="s">
        <v>474</v>
      </c>
      <c r="B61" s="345">
        <v>2731716</v>
      </c>
      <c r="C61" s="345">
        <v>2172276</v>
      </c>
      <c r="D61" s="345">
        <v>1492020</v>
      </c>
      <c r="E61" s="345">
        <v>1261548</v>
      </c>
    </row>
    <row r="62" spans="1:7" ht="16.5" thickTop="1" thickBot="1">
      <c r="A62" s="346" t="s">
        <v>475</v>
      </c>
      <c r="B62" s="345">
        <v>716760</v>
      </c>
      <c r="C62" s="345">
        <v>639108</v>
      </c>
      <c r="D62" s="345">
        <v>0</v>
      </c>
      <c r="E62" s="345">
        <v>0</v>
      </c>
    </row>
    <row r="63" spans="1:7" ht="16.5" thickTop="1" thickBot="1">
      <c r="A63" s="346" t="s">
        <v>476</v>
      </c>
      <c r="B63" s="345">
        <v>0</v>
      </c>
      <c r="C63" s="345">
        <v>980748</v>
      </c>
      <c r="D63" s="345">
        <v>923364</v>
      </c>
      <c r="E63" s="345">
        <v>831600</v>
      </c>
    </row>
    <row r="64" spans="1:7" ht="16.5" thickTop="1" thickBot="1">
      <c r="A64" s="346" t="s">
        <v>477</v>
      </c>
      <c r="B64" s="345">
        <v>0</v>
      </c>
      <c r="C64" s="345">
        <v>0</v>
      </c>
      <c r="D64" s="345">
        <v>0</v>
      </c>
      <c r="E64" s="345">
        <v>0</v>
      </c>
    </row>
    <row r="65" spans="1:6" ht="16.5" thickTop="1" thickBot="1">
      <c r="A65" s="346" t="s">
        <v>478</v>
      </c>
      <c r="B65" s="345">
        <v>360</v>
      </c>
      <c r="C65" s="345">
        <v>900</v>
      </c>
      <c r="D65" s="345">
        <v>0</v>
      </c>
      <c r="E65" s="345">
        <v>0</v>
      </c>
    </row>
    <row r="66" spans="1:6" ht="16.5" thickTop="1" thickBot="1">
      <c r="A66" s="346" t="s">
        <v>479</v>
      </c>
      <c r="B66" s="345">
        <v>0</v>
      </c>
      <c r="C66" s="345">
        <v>0</v>
      </c>
      <c r="D66" s="345">
        <v>0</v>
      </c>
      <c r="E66" s="345">
        <v>0</v>
      </c>
    </row>
    <row r="67" spans="1:6" ht="16.5" thickTop="1" thickBot="1">
      <c r="A67" s="346" t="s">
        <v>480</v>
      </c>
      <c r="B67" s="345">
        <v>325908</v>
      </c>
      <c r="C67" s="345">
        <v>340740</v>
      </c>
      <c r="D67" s="345">
        <v>0</v>
      </c>
      <c r="E67" s="345">
        <v>0</v>
      </c>
    </row>
    <row r="68" spans="1:6" ht="16.5" thickTop="1" thickBot="1">
      <c r="A68" s="348" t="s">
        <v>481</v>
      </c>
      <c r="B68" s="345">
        <v>87228</v>
      </c>
      <c r="C68" s="345">
        <v>228672</v>
      </c>
      <c r="D68" s="345">
        <v>550332</v>
      </c>
      <c r="E68" s="345">
        <v>613728</v>
      </c>
    </row>
    <row r="69" spans="1:6" ht="16.5" thickTop="1" thickBot="1">
      <c r="A69" s="349" t="s">
        <v>482</v>
      </c>
      <c r="B69" s="345">
        <v>0</v>
      </c>
      <c r="C69" s="345">
        <v>0</v>
      </c>
      <c r="D69" s="345">
        <v>0</v>
      </c>
      <c r="E69" s="345">
        <v>0</v>
      </c>
    </row>
    <row r="70" spans="1:6" ht="16.5" thickTop="1" thickBot="1">
      <c r="A70" s="349" t="s">
        <v>483</v>
      </c>
      <c r="B70" s="345">
        <v>0</v>
      </c>
      <c r="C70" s="345">
        <v>0</v>
      </c>
      <c r="D70" s="345">
        <v>0</v>
      </c>
      <c r="E70" s="345">
        <v>0</v>
      </c>
    </row>
    <row r="71" spans="1:6" ht="16.5" thickTop="1" thickBot="1">
      <c r="A71" s="349" t="s">
        <v>484</v>
      </c>
      <c r="B71" s="345">
        <v>0</v>
      </c>
      <c r="C71" s="345">
        <v>0</v>
      </c>
      <c r="D71" s="345">
        <v>0</v>
      </c>
      <c r="E71" s="345">
        <v>0</v>
      </c>
    </row>
    <row r="72" spans="1:6" ht="16.5" thickTop="1" thickBot="1">
      <c r="A72" s="348" t="s">
        <v>485</v>
      </c>
      <c r="B72" s="345">
        <v>87228</v>
      </c>
      <c r="C72" s="345">
        <v>228672</v>
      </c>
      <c r="D72" s="345">
        <v>550332</v>
      </c>
      <c r="E72" s="345">
        <v>613728</v>
      </c>
    </row>
    <row r="73" spans="1:6" ht="16.5" thickTop="1" thickBot="1">
      <c r="A73" s="349" t="s">
        <v>486</v>
      </c>
      <c r="B73" s="345">
        <v>18468</v>
      </c>
      <c r="C73" s="345">
        <v>61200</v>
      </c>
      <c r="D73" s="345">
        <v>128952</v>
      </c>
      <c r="E73" s="345">
        <v>207540</v>
      </c>
    </row>
    <row r="74" spans="1:6" ht="16.5" thickTop="1" thickBot="1">
      <c r="A74" s="348" t="s">
        <v>487</v>
      </c>
      <c r="B74" s="345">
        <v>68796</v>
      </c>
      <c r="C74" s="345">
        <v>167436</v>
      </c>
      <c r="D74" s="345">
        <v>421380</v>
      </c>
      <c r="E74" s="345">
        <v>406188</v>
      </c>
    </row>
    <row r="75" spans="1:6" ht="16.5" thickTop="1" thickBot="1">
      <c r="A75" s="349" t="s">
        <v>452</v>
      </c>
      <c r="B75" s="345">
        <v>0</v>
      </c>
      <c r="C75" s="345">
        <v>0</v>
      </c>
      <c r="D75" s="345">
        <v>0</v>
      </c>
      <c r="E75" s="345">
        <v>0</v>
      </c>
    </row>
    <row r="76" spans="1:6" ht="16.5" thickTop="1" thickBot="1">
      <c r="A76" s="349" t="s">
        <v>488</v>
      </c>
      <c r="B76" s="345">
        <v>0</v>
      </c>
      <c r="C76" s="345">
        <v>0</v>
      </c>
      <c r="D76" s="345">
        <v>0</v>
      </c>
      <c r="E76" s="345">
        <v>0</v>
      </c>
    </row>
    <row r="77" spans="1:6" ht="16.5" thickTop="1" thickBot="1">
      <c r="A77" s="349" t="s">
        <v>489</v>
      </c>
      <c r="B77" s="345">
        <v>0</v>
      </c>
      <c r="C77" s="345">
        <v>0</v>
      </c>
      <c r="D77" s="345">
        <v>0</v>
      </c>
      <c r="E77" s="345">
        <v>0</v>
      </c>
    </row>
    <row r="78" spans="1:6" ht="16.5" thickTop="1" thickBot="1">
      <c r="A78" s="348" t="s">
        <v>490</v>
      </c>
      <c r="B78" s="345">
        <v>68796</v>
      </c>
      <c r="C78" s="345">
        <v>167436</v>
      </c>
      <c r="D78" s="345">
        <v>421380</v>
      </c>
      <c r="E78" s="345">
        <v>406188</v>
      </c>
    </row>
    <row r="79" spans="1:6" ht="16.5" thickTop="1" thickBot="1">
      <c r="A79" s="349" t="s">
        <v>491</v>
      </c>
      <c r="B79" s="345">
        <v>0</v>
      </c>
      <c r="C79" s="345">
        <v>0</v>
      </c>
      <c r="D79" s="345">
        <v>0</v>
      </c>
      <c r="E79" s="345">
        <v>-21240</v>
      </c>
    </row>
    <row r="80" spans="1:6" ht="16.5" thickTop="1" thickBot="1">
      <c r="A80" s="348" t="s">
        <v>492</v>
      </c>
      <c r="B80" s="345">
        <v>68796</v>
      </c>
      <c r="C80" s="345">
        <v>167436</v>
      </c>
      <c r="D80" s="345">
        <v>421380</v>
      </c>
      <c r="E80" s="345">
        <v>384984</v>
      </c>
      <c r="F80" s="372">
        <f>+B80*3800</f>
        <v>261424800</v>
      </c>
    </row>
    <row r="81" spans="1:5" ht="16.5" thickTop="1" thickBot="1">
      <c r="A81" s="349" t="s">
        <v>493</v>
      </c>
      <c r="B81" s="345">
        <v>-36</v>
      </c>
      <c r="C81" s="345">
        <v>-36</v>
      </c>
      <c r="D81" s="345">
        <v>-36</v>
      </c>
      <c r="E81" s="345">
        <v>-36</v>
      </c>
    </row>
    <row r="82" spans="1:5" ht="16.5" thickTop="1" thickBot="1">
      <c r="A82" s="348" t="s">
        <v>494</v>
      </c>
      <c r="B82" s="345">
        <v>68724</v>
      </c>
      <c r="C82" s="345">
        <v>167400</v>
      </c>
      <c r="D82" s="345">
        <v>421344</v>
      </c>
      <c r="E82" s="345">
        <v>406188</v>
      </c>
    </row>
    <row r="83" spans="1:5" ht="16.5" thickTop="1" thickBot="1">
      <c r="A83" s="349" t="s">
        <v>495</v>
      </c>
      <c r="B83" s="345">
        <v>0</v>
      </c>
      <c r="C83" s="345">
        <v>0</v>
      </c>
      <c r="D83" s="345">
        <v>0</v>
      </c>
      <c r="E83" s="345">
        <v>0</v>
      </c>
    </row>
    <row r="84" spans="1:5" ht="16.5" thickTop="1" thickBot="1">
      <c r="A84" s="349" t="s">
        <v>496</v>
      </c>
      <c r="B84" s="345">
        <v>68724</v>
      </c>
      <c r="C84" s="345">
        <v>167400</v>
      </c>
      <c r="D84" s="345">
        <v>421344</v>
      </c>
      <c r="E84" s="345">
        <v>384912</v>
      </c>
    </row>
    <row r="85" spans="1:5" ht="16.5" thickTop="1" thickBot="1">
      <c r="A85" s="349" t="s">
        <v>497</v>
      </c>
      <c r="B85" s="345">
        <v>115092</v>
      </c>
      <c r="C85" s="345">
        <v>123227.99999999999</v>
      </c>
      <c r="D85" s="345">
        <v>128844</v>
      </c>
      <c r="E85" s="345">
        <v>128916.00000000001</v>
      </c>
    </row>
    <row r="86" spans="1:5" ht="16.5" thickTop="1" thickBot="1">
      <c r="A86" s="348" t="s">
        <v>498</v>
      </c>
      <c r="B86" s="345">
        <v>2160</v>
      </c>
      <c r="C86" s="345">
        <v>4896</v>
      </c>
      <c r="D86" s="345">
        <v>11772</v>
      </c>
      <c r="E86" s="345">
        <v>11340</v>
      </c>
    </row>
    <row r="87" spans="1:5" ht="16.5" thickTop="1" thickBot="1">
      <c r="A87" s="349" t="s">
        <v>499</v>
      </c>
      <c r="B87" s="345">
        <v>2304</v>
      </c>
      <c r="C87" s="345">
        <v>2304</v>
      </c>
      <c r="D87" s="345">
        <v>2736</v>
      </c>
      <c r="E87" s="345">
        <v>2016.0000000000002</v>
      </c>
    </row>
    <row r="88" spans="1:5" ht="16.5" thickTop="1" thickBot="1">
      <c r="A88" s="350" t="s">
        <v>500</v>
      </c>
      <c r="B88" s="345">
        <v>2160</v>
      </c>
      <c r="C88" s="345">
        <v>4896</v>
      </c>
      <c r="D88" s="345">
        <v>11772</v>
      </c>
      <c r="E88" s="345">
        <v>11340</v>
      </c>
    </row>
  </sheetData>
  <mergeCells count="2">
    <mergeCell ref="A1:E1"/>
    <mergeCell ref="A52:F52"/>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Y85"/>
  <sheetViews>
    <sheetView topLeftCell="A61" zoomScaleNormal="100" workbookViewId="0">
      <selection activeCell="J82" sqref="J82"/>
    </sheetView>
  </sheetViews>
  <sheetFormatPr baseColWidth="10" defaultRowHeight="15"/>
  <cols>
    <col min="1" max="1" width="40.85546875" style="66" bestFit="1" customWidth="1"/>
    <col min="2" max="2" width="4.42578125" style="66" bestFit="1" customWidth="1"/>
    <col min="3" max="7" width="4.85546875" style="66" bestFit="1" customWidth="1"/>
    <col min="8" max="8" width="4.28515625" style="38" customWidth="1"/>
    <col min="9" max="9" width="6" style="38" customWidth="1"/>
    <col min="10" max="10" width="36.28515625" style="38" bestFit="1" customWidth="1"/>
    <col min="11" max="11" width="5.140625" style="38" bestFit="1" customWidth="1"/>
    <col min="12" max="12" width="4.85546875" style="38" bestFit="1" customWidth="1"/>
    <col min="13" max="13" width="6.85546875" style="38" bestFit="1" customWidth="1"/>
    <col min="14" max="16" width="4.85546875" style="38" bestFit="1" customWidth="1"/>
    <col min="17" max="16384" width="11.42578125" style="7"/>
  </cols>
  <sheetData>
    <row r="1" spans="1:16" ht="15.75" thickBot="1">
      <c r="A1" s="433" t="s">
        <v>100</v>
      </c>
      <c r="B1" s="434"/>
      <c r="C1" s="434"/>
      <c r="D1" s="434"/>
      <c r="E1" s="434"/>
      <c r="F1" s="434"/>
      <c r="G1" s="435"/>
      <c r="J1" s="430" t="s">
        <v>100</v>
      </c>
      <c r="K1" s="431"/>
      <c r="L1" s="431"/>
      <c r="M1" s="431"/>
      <c r="N1" s="431"/>
      <c r="O1" s="431"/>
      <c r="P1" s="432"/>
    </row>
    <row r="2" spans="1:16" ht="18" customHeight="1">
      <c r="A2" s="433" t="s">
        <v>97</v>
      </c>
      <c r="B2" s="434"/>
      <c r="C2" s="434"/>
      <c r="D2" s="434"/>
      <c r="E2" s="434"/>
      <c r="F2" s="434"/>
      <c r="G2" s="435"/>
      <c r="J2" s="433" t="s">
        <v>159</v>
      </c>
      <c r="K2" s="434"/>
      <c r="L2" s="434"/>
      <c r="M2" s="434"/>
      <c r="N2" s="434"/>
      <c r="O2" s="434"/>
      <c r="P2" s="435"/>
    </row>
    <row r="3" spans="1:16" ht="18" customHeight="1">
      <c r="A3" s="436" t="s">
        <v>98</v>
      </c>
      <c r="B3" s="550"/>
      <c r="C3" s="550"/>
      <c r="D3" s="550"/>
      <c r="E3" s="550"/>
      <c r="F3" s="550"/>
      <c r="G3" s="438"/>
      <c r="J3" s="436" t="s">
        <v>98</v>
      </c>
      <c r="K3" s="550"/>
      <c r="L3" s="550"/>
      <c r="M3" s="550"/>
      <c r="N3" s="550"/>
      <c r="O3" s="550"/>
      <c r="P3" s="438"/>
    </row>
    <row r="4" spans="1:16" ht="18.75" customHeight="1" thickBot="1">
      <c r="A4" s="427" t="s">
        <v>99</v>
      </c>
      <c r="B4" s="428"/>
      <c r="C4" s="428"/>
      <c r="D4" s="428"/>
      <c r="E4" s="428"/>
      <c r="F4" s="428"/>
      <c r="G4" s="429"/>
      <c r="J4" s="427" t="s">
        <v>99</v>
      </c>
      <c r="K4" s="428"/>
      <c r="L4" s="428"/>
      <c r="M4" s="428"/>
      <c r="N4" s="428"/>
      <c r="O4" s="428"/>
      <c r="P4" s="429"/>
    </row>
    <row r="5" spans="1:16" s="30" customFormat="1" ht="13.5" thickBot="1">
      <c r="A5" s="39"/>
      <c r="B5" s="40">
        <v>2015</v>
      </c>
      <c r="C5" s="40">
        <v>2016</v>
      </c>
      <c r="D5" s="40">
        <v>2017</v>
      </c>
      <c r="E5" s="40">
        <v>2018</v>
      </c>
      <c r="F5" s="40">
        <v>2019</v>
      </c>
      <c r="G5" s="40">
        <v>2020</v>
      </c>
      <c r="H5" s="38"/>
      <c r="J5" s="39"/>
      <c r="K5" s="40">
        <v>2015</v>
      </c>
      <c r="L5" s="40">
        <v>2016</v>
      </c>
      <c r="M5" s="40">
        <v>2017</v>
      </c>
      <c r="N5" s="40">
        <v>2018</v>
      </c>
      <c r="O5" s="40">
        <v>2019</v>
      </c>
      <c r="P5" s="40">
        <v>2020</v>
      </c>
    </row>
    <row r="6" spans="1:16" s="27" customFormat="1" ht="15.75" thickBot="1">
      <c r="A6" s="41" t="s">
        <v>30</v>
      </c>
      <c r="B6" s="67"/>
      <c r="C6" s="67"/>
      <c r="D6" s="67"/>
      <c r="E6" s="67"/>
      <c r="F6" s="67"/>
      <c r="G6" s="68"/>
      <c r="H6" s="37"/>
      <c r="J6" s="101" t="s">
        <v>62</v>
      </c>
      <c r="K6" s="102"/>
      <c r="L6" s="102"/>
      <c r="M6" s="102"/>
      <c r="N6" s="102"/>
      <c r="O6" s="102"/>
      <c r="P6" s="103"/>
    </row>
    <row r="7" spans="1:16" s="28" customFormat="1" ht="15.75" thickBot="1">
      <c r="A7" s="42" t="s">
        <v>31</v>
      </c>
      <c r="B7" s="56"/>
      <c r="C7" s="56"/>
      <c r="D7" s="56"/>
      <c r="E7" s="56"/>
      <c r="F7" s="56"/>
      <c r="G7" s="69"/>
      <c r="H7" s="43"/>
      <c r="J7" s="45" t="s">
        <v>63</v>
      </c>
      <c r="K7" s="105">
        <v>904879380</v>
      </c>
      <c r="L7" s="105">
        <v>1043977031</v>
      </c>
      <c r="M7" s="105">
        <v>1262392367</v>
      </c>
      <c r="N7" s="105">
        <v>1860941447</v>
      </c>
      <c r="O7" s="105">
        <v>2869401050</v>
      </c>
      <c r="P7" s="105">
        <v>3417084270</v>
      </c>
    </row>
    <row r="8" spans="1:16" s="27" customFormat="1" ht="15.75" thickBot="1">
      <c r="A8" s="45" t="s">
        <v>32</v>
      </c>
      <c r="B8" s="46">
        <v>23013656</v>
      </c>
      <c r="C8" s="46">
        <v>16025937</v>
      </c>
      <c r="D8" s="46">
        <v>123418719</v>
      </c>
      <c r="E8" s="46">
        <v>196563193</v>
      </c>
      <c r="F8" s="46">
        <v>49372907</v>
      </c>
      <c r="G8" s="46">
        <v>100663317</v>
      </c>
      <c r="H8" s="37"/>
      <c r="J8" s="45" t="s">
        <v>64</v>
      </c>
      <c r="K8" s="105">
        <v>439612898</v>
      </c>
      <c r="L8" s="105">
        <v>618771061</v>
      </c>
      <c r="M8" s="105">
        <v>0</v>
      </c>
      <c r="N8" s="105">
        <v>0</v>
      </c>
      <c r="O8" s="105">
        <v>1504556463</v>
      </c>
      <c r="P8" s="105">
        <v>1769012091</v>
      </c>
    </row>
    <row r="9" spans="1:16" s="27" customFormat="1" ht="15.75" thickBot="1">
      <c r="A9" s="45" t="s">
        <v>33</v>
      </c>
      <c r="B9" s="46">
        <v>21036068</v>
      </c>
      <c r="C9" s="46">
        <v>24265911</v>
      </c>
      <c r="D9" s="46">
        <v>39123528</v>
      </c>
      <c r="E9" s="46">
        <v>81214177</v>
      </c>
      <c r="F9" s="46">
        <v>72801761</v>
      </c>
      <c r="G9" s="46">
        <v>209155086</v>
      </c>
      <c r="H9" s="37"/>
      <c r="J9" s="106" t="s">
        <v>65</v>
      </c>
      <c r="K9" s="107">
        <f t="shared" ref="K9:P9" si="0">+K7-K8</f>
        <v>465266482</v>
      </c>
      <c r="L9" s="107">
        <f t="shared" si="0"/>
        <v>425205970</v>
      </c>
      <c r="M9" s="107">
        <f t="shared" si="0"/>
        <v>1262392367</v>
      </c>
      <c r="N9" s="107">
        <f t="shared" si="0"/>
        <v>1860941447</v>
      </c>
      <c r="O9" s="107">
        <f t="shared" si="0"/>
        <v>1364844587</v>
      </c>
      <c r="P9" s="107">
        <f t="shared" si="0"/>
        <v>1648072179</v>
      </c>
    </row>
    <row r="10" spans="1:16" s="27" customFormat="1" ht="15.75" thickBot="1">
      <c r="A10" s="45" t="s">
        <v>34</v>
      </c>
      <c r="B10" s="46">
        <v>280586787</v>
      </c>
      <c r="C10" s="46">
        <v>388244289</v>
      </c>
      <c r="D10" s="46">
        <v>264648969</v>
      </c>
      <c r="E10" s="46">
        <v>368327627</v>
      </c>
      <c r="F10" s="46">
        <v>312764949</v>
      </c>
      <c r="G10" s="46">
        <v>312353000</v>
      </c>
      <c r="H10" s="37"/>
      <c r="J10" s="45" t="s">
        <v>66</v>
      </c>
      <c r="K10" s="105">
        <v>1563514</v>
      </c>
      <c r="L10" s="105">
        <v>4958700</v>
      </c>
      <c r="M10" s="105">
        <v>8381414</v>
      </c>
      <c r="N10" s="105">
        <v>8895908</v>
      </c>
      <c r="O10" s="108">
        <v>597205</v>
      </c>
      <c r="P10" s="108">
        <v>26627619</v>
      </c>
    </row>
    <row r="11" spans="1:16" s="27" customFormat="1" ht="15.75" thickBot="1">
      <c r="A11" s="45" t="s">
        <v>35</v>
      </c>
      <c r="B11" s="46">
        <v>3880103</v>
      </c>
      <c r="C11" s="46">
        <v>5693959</v>
      </c>
      <c r="D11" s="46">
        <v>14015294</v>
      </c>
      <c r="E11" s="46">
        <v>18698322</v>
      </c>
      <c r="F11" s="48">
        <v>239753949</v>
      </c>
      <c r="G11" s="48">
        <v>189833537</v>
      </c>
      <c r="H11" s="37"/>
      <c r="J11" s="45" t="s">
        <v>67</v>
      </c>
      <c r="K11" s="105">
        <v>418591551</v>
      </c>
      <c r="L11" s="105">
        <v>379747737</v>
      </c>
      <c r="M11" s="105">
        <v>415544197</v>
      </c>
      <c r="N11" s="105">
        <v>703521762</v>
      </c>
      <c r="O11" s="108">
        <v>1174056377</v>
      </c>
      <c r="P11" s="108">
        <v>1280972049</v>
      </c>
    </row>
    <row r="12" spans="1:16" s="27" customFormat="1" ht="13.5" customHeight="1" thickBot="1">
      <c r="A12" s="39" t="s">
        <v>36</v>
      </c>
      <c r="B12" s="49">
        <f t="shared" ref="B12:G12" si="1">SUM(B8:B11)</f>
        <v>328516614</v>
      </c>
      <c r="C12" s="49">
        <f t="shared" si="1"/>
        <v>434230096</v>
      </c>
      <c r="D12" s="49">
        <f t="shared" si="1"/>
        <v>441206510</v>
      </c>
      <c r="E12" s="49">
        <f t="shared" si="1"/>
        <v>664803319</v>
      </c>
      <c r="F12" s="49">
        <f t="shared" si="1"/>
        <v>674693566</v>
      </c>
      <c r="G12" s="76">
        <f t="shared" si="1"/>
        <v>812004940</v>
      </c>
      <c r="H12" s="37"/>
      <c r="J12" s="45" t="s">
        <v>68</v>
      </c>
      <c r="K12" s="105">
        <v>16020653</v>
      </c>
      <c r="L12" s="105">
        <v>18848871</v>
      </c>
      <c r="M12" s="105">
        <v>876221356</v>
      </c>
      <c r="N12" s="105">
        <v>1175414859</v>
      </c>
      <c r="O12" s="108">
        <v>5973826</v>
      </c>
      <c r="P12" s="108">
        <v>62486774</v>
      </c>
    </row>
    <row r="13" spans="1:16" s="27" customFormat="1" ht="15.75" thickBot="1">
      <c r="A13" s="51" t="s">
        <v>37</v>
      </c>
      <c r="B13" s="46"/>
      <c r="C13" s="46"/>
      <c r="D13" s="46"/>
      <c r="E13" s="46"/>
      <c r="F13" s="46"/>
      <c r="G13" s="46"/>
      <c r="H13" s="37"/>
      <c r="J13" s="45" t="s">
        <v>69</v>
      </c>
      <c r="K13" s="206"/>
      <c r="L13" s="206"/>
      <c r="M13" s="206"/>
      <c r="N13" s="206"/>
      <c r="O13" s="108">
        <v>0</v>
      </c>
      <c r="P13" s="108">
        <v>0</v>
      </c>
    </row>
    <row r="14" spans="1:16" s="27" customFormat="1" ht="15.75" thickBot="1">
      <c r="A14" s="45" t="s">
        <v>38</v>
      </c>
      <c r="B14" s="46">
        <v>54526538</v>
      </c>
      <c r="C14" s="46">
        <v>45721698</v>
      </c>
      <c r="D14" s="46">
        <v>69419853</v>
      </c>
      <c r="E14" s="46">
        <v>53522787</v>
      </c>
      <c r="F14" s="48">
        <v>63501938</v>
      </c>
      <c r="G14" s="48">
        <v>171261779</v>
      </c>
      <c r="H14" s="37"/>
      <c r="J14" s="106" t="s">
        <v>70</v>
      </c>
      <c r="K14" s="107">
        <f>+K9+K10-K11-K12-K16</f>
        <v>32217792</v>
      </c>
      <c r="L14" s="107">
        <f>+L9+L10-L11-L12-L16</f>
        <v>31568062</v>
      </c>
      <c r="M14" s="107">
        <f>+M9+M10-M11-M12-M16</f>
        <v>-50317583</v>
      </c>
      <c r="N14" s="107">
        <v>-28371111</v>
      </c>
      <c r="O14" s="107">
        <f t="shared" ref="O14:P14" si="2">+O9+O10-O11-O12-O13</f>
        <v>185411589</v>
      </c>
      <c r="P14" s="107">
        <f t="shared" si="2"/>
        <v>331240975</v>
      </c>
    </row>
    <row r="15" spans="1:16" s="27" customFormat="1" ht="15.75" thickBot="1">
      <c r="A15" s="45" t="s">
        <v>39</v>
      </c>
      <c r="B15" s="46">
        <v>1250000</v>
      </c>
      <c r="C15" s="46">
        <v>0</v>
      </c>
      <c r="D15" s="46"/>
      <c r="E15" s="46"/>
      <c r="F15" s="46"/>
      <c r="G15" s="46"/>
      <c r="H15" s="37"/>
      <c r="J15" s="58" t="s">
        <v>71</v>
      </c>
      <c r="K15" s="105"/>
      <c r="L15" s="105"/>
      <c r="M15" s="105"/>
      <c r="N15" s="105"/>
      <c r="O15" s="105">
        <v>152220</v>
      </c>
      <c r="P15" s="105">
        <v>4955622</v>
      </c>
    </row>
    <row r="16" spans="1:16" s="27" customFormat="1" ht="15.75" thickBot="1">
      <c r="A16" s="39" t="s">
        <v>40</v>
      </c>
      <c r="B16" s="49">
        <f t="shared" ref="B16:G16" si="3">+B14+B15</f>
        <v>55776538</v>
      </c>
      <c r="C16" s="49">
        <f t="shared" si="3"/>
        <v>45721698</v>
      </c>
      <c r="D16" s="49">
        <f t="shared" si="3"/>
        <v>69419853</v>
      </c>
      <c r="E16" s="49">
        <f t="shared" si="3"/>
        <v>53522787</v>
      </c>
      <c r="F16" s="49">
        <f t="shared" si="3"/>
        <v>63501938</v>
      </c>
      <c r="G16" s="76">
        <f t="shared" si="3"/>
        <v>171261779</v>
      </c>
      <c r="H16" s="37"/>
      <c r="J16" s="58" t="s">
        <v>72</v>
      </c>
      <c r="K16" s="105">
        <v>0</v>
      </c>
      <c r="L16" s="105">
        <v>0</v>
      </c>
      <c r="M16" s="105">
        <v>29325811</v>
      </c>
      <c r="N16" s="105">
        <v>19271845</v>
      </c>
      <c r="O16" s="105">
        <v>22743955</v>
      </c>
      <c r="P16" s="105">
        <v>22040201</v>
      </c>
    </row>
    <row r="17" spans="1:19" s="27" customFormat="1" ht="15.75" thickBot="1">
      <c r="A17" s="37"/>
      <c r="B17" s="52"/>
      <c r="C17" s="52"/>
      <c r="D17" s="52"/>
      <c r="E17" s="52"/>
      <c r="F17" s="52"/>
      <c r="G17" s="52"/>
      <c r="H17" s="37"/>
      <c r="J17" s="106" t="s">
        <v>73</v>
      </c>
      <c r="K17" s="107"/>
      <c r="L17" s="107"/>
      <c r="M17" s="107"/>
      <c r="N17" s="107"/>
      <c r="O17" s="107">
        <f>+O14+O15-O16</f>
        <v>162819854</v>
      </c>
      <c r="P17" s="107">
        <f>+P14+P15-P16</f>
        <v>314156396</v>
      </c>
    </row>
    <row r="18" spans="1:19" s="27" customFormat="1" ht="15.75" thickBot="1">
      <c r="A18" s="61" t="s">
        <v>41</v>
      </c>
      <c r="B18" s="111">
        <f t="shared" ref="B18:G18" si="4">+B12+B16</f>
        <v>384293152</v>
      </c>
      <c r="C18" s="111">
        <f t="shared" si="4"/>
        <v>479951794</v>
      </c>
      <c r="D18" s="111">
        <f t="shared" si="4"/>
        <v>510626363</v>
      </c>
      <c r="E18" s="111">
        <f t="shared" si="4"/>
        <v>718326106</v>
      </c>
      <c r="F18" s="111">
        <f t="shared" si="4"/>
        <v>738195504</v>
      </c>
      <c r="G18" s="112">
        <f t="shared" si="4"/>
        <v>983266719</v>
      </c>
      <c r="H18" s="37"/>
      <c r="J18" s="45" t="s">
        <v>74</v>
      </c>
      <c r="K18" s="105">
        <v>14354000</v>
      </c>
      <c r="L18" s="105">
        <v>14578000</v>
      </c>
      <c r="M18" s="109">
        <v>2055000</v>
      </c>
      <c r="N18" s="109">
        <v>1390000</v>
      </c>
      <c r="O18" s="105">
        <v>59789000</v>
      </c>
      <c r="P18" s="105">
        <v>79732000</v>
      </c>
    </row>
    <row r="19" spans="1:19" s="27" customFormat="1" ht="15.75" thickBot="1">
      <c r="A19" s="43"/>
      <c r="B19" s="70"/>
      <c r="C19" s="70"/>
      <c r="D19" s="70"/>
      <c r="E19" s="70"/>
      <c r="F19" s="70"/>
      <c r="G19" s="70"/>
      <c r="H19" s="37"/>
      <c r="J19" s="106" t="s">
        <v>75</v>
      </c>
      <c r="K19" s="110">
        <f>+K14-K18</f>
        <v>17863792</v>
      </c>
      <c r="L19" s="110">
        <f>+L14-L18</f>
        <v>16990062</v>
      </c>
      <c r="M19" s="110">
        <f>+M14-M18</f>
        <v>-52372583</v>
      </c>
      <c r="N19" s="110">
        <f>+N14-N18</f>
        <v>-29761111</v>
      </c>
      <c r="O19" s="110">
        <f>+O17-O18</f>
        <v>103030854</v>
      </c>
      <c r="P19" s="110">
        <f>+P17-P18</f>
        <v>234424396</v>
      </c>
    </row>
    <row r="20" spans="1:19" s="27" customFormat="1" ht="15.75" thickBot="1">
      <c r="A20" s="54" t="s">
        <v>42</v>
      </c>
      <c r="B20" s="73"/>
      <c r="C20" s="73"/>
      <c r="D20" s="73"/>
      <c r="E20" s="73"/>
      <c r="F20" s="73"/>
      <c r="G20" s="113"/>
      <c r="H20" s="37"/>
      <c r="J20" s="106" t="s">
        <v>76</v>
      </c>
      <c r="K20" s="107">
        <f>+K19</f>
        <v>17863792</v>
      </c>
      <c r="L20" s="107">
        <f>+L19</f>
        <v>16990062</v>
      </c>
      <c r="M20" s="107">
        <f t="shared" ref="M20:P20" si="5">+M19</f>
        <v>-52372583</v>
      </c>
      <c r="N20" s="107">
        <f t="shared" si="5"/>
        <v>-29761111</v>
      </c>
      <c r="O20" s="107">
        <f t="shared" si="5"/>
        <v>103030854</v>
      </c>
      <c r="P20" s="107">
        <f t="shared" si="5"/>
        <v>234424396</v>
      </c>
    </row>
    <row r="21" spans="1:19" s="27" customFormat="1" ht="15.75" thickBot="1">
      <c r="A21" s="42" t="s">
        <v>43</v>
      </c>
      <c r="B21" s="55"/>
      <c r="C21" s="55"/>
      <c r="D21" s="55"/>
      <c r="E21" s="57"/>
      <c r="F21" s="55"/>
      <c r="G21" s="114"/>
      <c r="H21" s="37"/>
      <c r="J21" s="45" t="s">
        <v>77</v>
      </c>
      <c r="K21" s="105">
        <v>202128943</v>
      </c>
      <c r="L21" s="105">
        <v>184265151</v>
      </c>
      <c r="M21" s="105">
        <v>167275090</v>
      </c>
      <c r="N21" s="105">
        <v>219647673</v>
      </c>
      <c r="O21" s="105">
        <f>+O19</f>
        <v>103030854</v>
      </c>
      <c r="P21" s="105">
        <f>+P19</f>
        <v>234424396</v>
      </c>
    </row>
    <row r="22" spans="1:19" s="27" customFormat="1" ht="15.75" thickBot="1">
      <c r="A22" s="45" t="s">
        <v>44</v>
      </c>
      <c r="B22" s="46">
        <v>0</v>
      </c>
      <c r="C22" s="46">
        <v>0</v>
      </c>
      <c r="D22" s="46">
        <v>0</v>
      </c>
      <c r="E22" s="46">
        <v>0</v>
      </c>
      <c r="F22" s="46"/>
      <c r="G22" s="46"/>
      <c r="H22" s="37"/>
      <c r="J22" s="45" t="s">
        <v>78</v>
      </c>
      <c r="K22" s="105">
        <v>0</v>
      </c>
      <c r="L22" s="105">
        <v>0</v>
      </c>
      <c r="M22" s="105">
        <v>0</v>
      </c>
      <c r="N22" s="105">
        <v>0</v>
      </c>
      <c r="O22" s="105">
        <v>0</v>
      </c>
      <c r="P22" s="105">
        <v>0</v>
      </c>
    </row>
    <row r="23" spans="1:19" s="27" customFormat="1" ht="15.75" thickBot="1">
      <c r="A23" s="45" t="s">
        <v>45</v>
      </c>
      <c r="B23" s="46">
        <v>136896961</v>
      </c>
      <c r="C23" s="46">
        <v>143226012</v>
      </c>
      <c r="D23" s="46">
        <v>146347389</v>
      </c>
      <c r="E23" s="46">
        <v>322074837</v>
      </c>
      <c r="F23" s="46">
        <v>248104135</v>
      </c>
      <c r="G23" s="46">
        <v>163796625</v>
      </c>
      <c r="H23" s="37"/>
      <c r="J23" s="106" t="s">
        <v>79</v>
      </c>
      <c r="K23" s="107">
        <f>+K20-K21-K22</f>
        <v>-184265151</v>
      </c>
      <c r="L23" s="107">
        <f>+L20-L21-L22</f>
        <v>-167275089</v>
      </c>
      <c r="M23" s="107">
        <f>+M20-M21-M22</f>
        <v>-219647673</v>
      </c>
      <c r="N23" s="115">
        <f>+N20-N21-N22</f>
        <v>-249408784</v>
      </c>
      <c r="O23" s="107">
        <f>+O21-O22</f>
        <v>103030854</v>
      </c>
      <c r="P23" s="107">
        <f>+P21-P22</f>
        <v>234424396</v>
      </c>
    </row>
    <row r="24" spans="1:19" s="27" customFormat="1" ht="15.75" thickBot="1">
      <c r="A24" s="45" t="s">
        <v>46</v>
      </c>
      <c r="B24" s="46">
        <v>14354000</v>
      </c>
      <c r="C24" s="46">
        <v>14578000</v>
      </c>
      <c r="D24" s="46">
        <v>77515099</v>
      </c>
      <c r="E24" s="46">
        <v>83230267</v>
      </c>
      <c r="F24" s="46">
        <v>135197778</v>
      </c>
      <c r="G24" s="46">
        <v>135224000</v>
      </c>
      <c r="H24" s="37"/>
    </row>
    <row r="25" spans="1:19" s="27" customFormat="1" ht="15.75" thickBot="1">
      <c r="A25" s="58" t="s">
        <v>47</v>
      </c>
      <c r="B25" s="48">
        <v>20329310</v>
      </c>
      <c r="C25" s="48">
        <v>27031759</v>
      </c>
      <c r="D25" s="48">
        <v>49916491</v>
      </c>
      <c r="E25" s="48">
        <v>55812268</v>
      </c>
      <c r="F25" s="46">
        <v>82762293</v>
      </c>
      <c r="G25" s="46">
        <v>135153397</v>
      </c>
      <c r="H25" s="37"/>
      <c r="J25" s="212" t="s">
        <v>203</v>
      </c>
      <c r="K25" s="110">
        <f>+K19+K16</f>
        <v>17863792</v>
      </c>
      <c r="L25" s="110">
        <f t="shared" ref="L25:P25" si="6">+L19+L16</f>
        <v>16990062</v>
      </c>
      <c r="M25" s="110">
        <f t="shared" si="6"/>
        <v>-23046772</v>
      </c>
      <c r="N25" s="110">
        <f t="shared" si="6"/>
        <v>-10489266</v>
      </c>
      <c r="O25" s="110">
        <f t="shared" si="6"/>
        <v>125774809</v>
      </c>
      <c r="P25" s="110">
        <f t="shared" si="6"/>
        <v>256464597</v>
      </c>
    </row>
    <row r="26" spans="1:19" s="27" customFormat="1" ht="15.75" thickBot="1">
      <c r="A26" s="213" t="s">
        <v>48</v>
      </c>
      <c r="B26" s="214">
        <v>26264703</v>
      </c>
      <c r="C26" s="214">
        <v>7754692</v>
      </c>
      <c r="D26" s="214">
        <v>0</v>
      </c>
      <c r="E26" s="214">
        <v>0</v>
      </c>
      <c r="F26" s="214">
        <v>0</v>
      </c>
      <c r="G26" s="214">
        <v>0</v>
      </c>
      <c r="H26" s="37"/>
      <c r="J26" s="106" t="s">
        <v>202</v>
      </c>
      <c r="K26" s="211">
        <f>+K18/K14</f>
        <v>0.44553022131373871</v>
      </c>
      <c r="L26" s="211">
        <f t="shared" ref="L26:P26" si="7">+L18/L14</f>
        <v>0.46179584923521755</v>
      </c>
      <c r="M26" s="211"/>
      <c r="N26" s="211"/>
      <c r="O26" s="211">
        <f t="shared" si="7"/>
        <v>0.32246635888547398</v>
      </c>
      <c r="P26" s="211">
        <f t="shared" si="7"/>
        <v>0.2407069354870725</v>
      </c>
    </row>
    <row r="27" spans="1:19" s="27" customFormat="1" ht="16.5" customHeight="1" thickBot="1">
      <c r="A27" s="45" t="s">
        <v>49</v>
      </c>
      <c r="B27" s="46">
        <v>27013328</v>
      </c>
      <c r="C27" s="46">
        <v>29050737</v>
      </c>
      <c r="D27" s="46">
        <v>67795057</v>
      </c>
      <c r="E27" s="46">
        <v>116701328</v>
      </c>
      <c r="F27" s="46">
        <v>41535493</v>
      </c>
      <c r="G27" s="46">
        <v>84072716</v>
      </c>
      <c r="H27" s="37"/>
      <c r="J27" s="106" t="s">
        <v>204</v>
      </c>
      <c r="K27" s="211">
        <f>+K16/B26</f>
        <v>0</v>
      </c>
      <c r="L27" s="211">
        <f t="shared" ref="L27" si="8">+L16/C26</f>
        <v>0</v>
      </c>
      <c r="M27" s="211">
        <v>0</v>
      </c>
      <c r="N27" s="211">
        <v>0</v>
      </c>
      <c r="O27" s="211">
        <v>0</v>
      </c>
      <c r="P27" s="211">
        <v>0</v>
      </c>
      <c r="Q27" s="62"/>
      <c r="R27" s="62"/>
      <c r="S27" s="62"/>
    </row>
    <row r="28" spans="1:19" s="29" customFormat="1" ht="15.75" thickBot="1">
      <c r="A28" s="59" t="s">
        <v>50</v>
      </c>
      <c r="B28" s="76">
        <f t="shared" ref="B28:G28" si="9">SUM(B23:B27)</f>
        <v>224858302</v>
      </c>
      <c r="C28" s="76">
        <f t="shared" si="9"/>
        <v>221641200</v>
      </c>
      <c r="D28" s="76">
        <f t="shared" si="9"/>
        <v>341574036</v>
      </c>
      <c r="E28" s="76">
        <f t="shared" si="9"/>
        <v>577818700</v>
      </c>
      <c r="F28" s="76">
        <f t="shared" si="9"/>
        <v>507599699</v>
      </c>
      <c r="G28" s="76">
        <f t="shared" si="9"/>
        <v>518246738</v>
      </c>
      <c r="H28" s="60"/>
    </row>
    <row r="29" spans="1:19" s="27" customFormat="1" ht="15.75" thickBot="1">
      <c r="A29" s="45" t="s">
        <v>51</v>
      </c>
      <c r="B29" s="46">
        <v>143700000</v>
      </c>
      <c r="C29" s="46">
        <v>85585684</v>
      </c>
      <c r="D29" s="46">
        <v>48700000</v>
      </c>
      <c r="E29" s="46">
        <v>48329178</v>
      </c>
      <c r="F29" s="46">
        <v>36336498</v>
      </c>
      <c r="G29" s="46">
        <v>36336498</v>
      </c>
      <c r="H29" s="37"/>
      <c r="J29" s="37"/>
      <c r="K29" s="37"/>
      <c r="L29" s="37"/>
      <c r="M29" s="37"/>
      <c r="N29" s="37"/>
      <c r="O29" s="37"/>
      <c r="P29" s="37"/>
    </row>
    <row r="30" spans="1:19" s="27" customFormat="1" ht="15.75" thickBot="1">
      <c r="A30" s="59" t="s">
        <v>52</v>
      </c>
      <c r="B30" s="76">
        <v>143700000</v>
      </c>
      <c r="C30" s="76">
        <v>85585684</v>
      </c>
      <c r="D30" s="76">
        <f>+D29</f>
        <v>48700000</v>
      </c>
      <c r="E30" s="76">
        <f>+E29</f>
        <v>48329178</v>
      </c>
      <c r="F30" s="76">
        <f>+F29</f>
        <v>36336498</v>
      </c>
      <c r="G30" s="76">
        <f>+G29</f>
        <v>36336498</v>
      </c>
      <c r="H30" s="37"/>
      <c r="J30" s="37"/>
      <c r="K30" s="37"/>
      <c r="L30" s="37"/>
      <c r="M30" s="37"/>
      <c r="N30" s="37"/>
      <c r="O30" s="37"/>
      <c r="P30" s="37"/>
    </row>
    <row r="31" spans="1:19" s="27" customFormat="1" ht="15.75" thickBot="1">
      <c r="A31" s="51"/>
      <c r="B31" s="46"/>
      <c r="C31" s="46"/>
      <c r="D31" s="46"/>
      <c r="E31" s="46"/>
      <c r="F31" s="46"/>
      <c r="G31" s="46"/>
      <c r="H31" s="37"/>
    </row>
    <row r="32" spans="1:19" s="27" customFormat="1" ht="15.75" thickBot="1">
      <c r="A32" s="61" t="s">
        <v>53</v>
      </c>
      <c r="B32" s="80">
        <v>368558302</v>
      </c>
      <c r="C32" s="80">
        <v>307226884</v>
      </c>
      <c r="D32" s="80">
        <f>+D28+D30</f>
        <v>390274036</v>
      </c>
      <c r="E32" s="80">
        <f>+E28+E30</f>
        <v>626147878</v>
      </c>
      <c r="F32" s="80">
        <f>+F28+F30</f>
        <v>543936197</v>
      </c>
      <c r="G32" s="80">
        <f>+G28+G30</f>
        <v>554583236</v>
      </c>
      <c r="H32" s="37"/>
      <c r="P32" s="27" t="s">
        <v>207</v>
      </c>
    </row>
    <row r="33" spans="1:17" s="27" customFormat="1" ht="15.75" thickBot="1">
      <c r="A33" s="43"/>
      <c r="B33" s="70"/>
      <c r="C33" s="70"/>
      <c r="D33" s="70"/>
      <c r="E33" s="70"/>
      <c r="F33" s="70"/>
      <c r="G33" s="70"/>
      <c r="H33" s="37"/>
    </row>
    <row r="34" spans="1:17" s="27" customFormat="1" ht="15.75" thickBot="1">
      <c r="A34" s="54" t="s">
        <v>54</v>
      </c>
      <c r="B34" s="73"/>
      <c r="C34" s="73"/>
      <c r="D34" s="73"/>
      <c r="E34" s="73"/>
      <c r="F34" s="73"/>
      <c r="G34" s="113"/>
      <c r="H34" s="37"/>
    </row>
    <row r="35" spans="1:17" s="27" customFormat="1" ht="16.5" customHeight="1" thickBot="1">
      <c r="A35" s="45" t="s">
        <v>55</v>
      </c>
      <c r="B35" s="46">
        <v>200000000</v>
      </c>
      <c r="C35" s="46">
        <v>340000000</v>
      </c>
      <c r="D35" s="46">
        <v>340000000</v>
      </c>
      <c r="E35" s="46">
        <v>340000000</v>
      </c>
      <c r="F35" s="48">
        <v>340000000</v>
      </c>
      <c r="G35" s="48">
        <v>340000000</v>
      </c>
      <c r="H35" s="37"/>
      <c r="Q35" s="27">
        <f>2.04%+1.86*(1.15%-7.5%)+7.5</f>
        <v>7.4022899999999998</v>
      </c>
    </row>
    <row r="36" spans="1:17" s="27" customFormat="1" ht="15.75" thickBot="1">
      <c r="A36" s="45" t="s">
        <v>56</v>
      </c>
      <c r="B36" s="46"/>
      <c r="C36" s="46"/>
      <c r="D36" s="46"/>
      <c r="E36" s="46"/>
      <c r="F36" s="48"/>
      <c r="G36" s="48">
        <v>10303086</v>
      </c>
      <c r="H36" s="37"/>
    </row>
    <row r="37" spans="1:17" s="27" customFormat="1" ht="15.75" thickBot="1">
      <c r="A37" s="45" t="s">
        <v>57</v>
      </c>
      <c r="B37" s="46">
        <v>-184265151</v>
      </c>
      <c r="C37" s="46">
        <v>-167275090</v>
      </c>
      <c r="D37" s="46">
        <v>219647673</v>
      </c>
      <c r="E37" s="46">
        <v>247821771</v>
      </c>
      <c r="F37" s="48">
        <v>248771771</v>
      </c>
      <c r="G37" s="48">
        <v>156044000</v>
      </c>
      <c r="H37" s="37"/>
    </row>
    <row r="38" spans="1:17" s="27" customFormat="1" ht="15.75" thickBot="1">
      <c r="A38" s="45" t="s">
        <v>58</v>
      </c>
      <c r="B38" s="46"/>
      <c r="C38" s="46"/>
      <c r="D38" s="46"/>
      <c r="E38" s="46"/>
      <c r="F38" s="48">
        <v>103030854</v>
      </c>
      <c r="G38" s="48">
        <v>234424397</v>
      </c>
      <c r="H38" s="37"/>
    </row>
    <row r="39" spans="1:17" s="27" customFormat="1" ht="15.75" thickBot="1">
      <c r="A39" s="45" t="s">
        <v>59</v>
      </c>
      <c r="B39" s="46">
        <v>0</v>
      </c>
      <c r="C39" s="46">
        <v>0</v>
      </c>
      <c r="D39" s="46">
        <v>0</v>
      </c>
      <c r="E39" s="46"/>
      <c r="F39" s="46"/>
      <c r="G39" s="46"/>
      <c r="H39" s="37"/>
      <c r="P39" s="27" t="s">
        <v>205</v>
      </c>
    </row>
    <row r="40" spans="1:17" s="27" customFormat="1" ht="15.75" thickBot="1">
      <c r="A40" s="59" t="s">
        <v>60</v>
      </c>
      <c r="B40" s="76">
        <f>+B35+B37+B38+B39</f>
        <v>15734849</v>
      </c>
      <c r="C40" s="76">
        <f>+C35+C37+C38+C39</f>
        <v>172724910</v>
      </c>
      <c r="D40" s="76">
        <f>+D35-D37+D39</f>
        <v>120352327</v>
      </c>
      <c r="E40" s="76">
        <f>+E35-E37+E39</f>
        <v>92178229</v>
      </c>
      <c r="F40" s="76">
        <f>+F35-F37+F38+F39</f>
        <v>194259083</v>
      </c>
      <c r="G40" s="76">
        <f>+G35-G37+G38+G39+G36</f>
        <v>428683483</v>
      </c>
      <c r="H40" s="37"/>
    </row>
    <row r="41" spans="1:17" s="27" customFormat="1" ht="15.75" thickBot="1">
      <c r="A41" s="37"/>
      <c r="B41" s="52"/>
      <c r="C41" s="52"/>
      <c r="D41" s="52"/>
      <c r="E41" s="52"/>
      <c r="F41" s="52"/>
      <c r="G41" s="52"/>
      <c r="H41" s="37"/>
    </row>
    <row r="42" spans="1:17" s="29" customFormat="1" ht="16.5" customHeight="1" thickBot="1">
      <c r="A42" s="61" t="s">
        <v>61</v>
      </c>
      <c r="B42" s="80">
        <v>384293151</v>
      </c>
      <c r="C42" s="80">
        <v>479951794</v>
      </c>
      <c r="D42" s="80">
        <f>+D32+D40</f>
        <v>510626363</v>
      </c>
      <c r="E42" s="80">
        <f>+E32+E40</f>
        <v>718326107</v>
      </c>
      <c r="F42" s="80">
        <f>+F32+F40</f>
        <v>738195280</v>
      </c>
      <c r="G42" s="80">
        <f>+G32+G40</f>
        <v>983266719</v>
      </c>
      <c r="H42" s="60"/>
    </row>
    <row r="43" spans="1:17" s="27" customFormat="1">
      <c r="A43" s="37"/>
      <c r="B43" s="63"/>
      <c r="C43" s="63"/>
      <c r="D43" s="37"/>
      <c r="E43" s="37"/>
      <c r="F43" s="37"/>
      <c r="G43" s="37"/>
      <c r="H43" s="37"/>
    </row>
    <row r="44" spans="1:17" s="27" customFormat="1">
      <c r="A44" s="37"/>
      <c r="B44" s="37"/>
      <c r="C44" s="37"/>
      <c r="D44" s="37"/>
      <c r="E44" s="37"/>
      <c r="F44" s="37"/>
      <c r="G44" s="37"/>
      <c r="H44" s="37"/>
      <c r="Q44" s="27" t="s">
        <v>208</v>
      </c>
    </row>
    <row r="45" spans="1:17" s="27" customFormat="1" ht="15.75" thickBot="1"/>
    <row r="46" spans="1:17" s="27" customFormat="1" ht="16.5" customHeight="1" thickBot="1">
      <c r="A46" s="424" t="s">
        <v>197</v>
      </c>
      <c r="B46" s="425"/>
      <c r="C46" s="425"/>
      <c r="D46" s="425"/>
      <c r="E46" s="425"/>
      <c r="F46" s="425"/>
      <c r="G46" s="426"/>
    </row>
    <row r="47" spans="1:17" s="27" customFormat="1" ht="15.75" thickBot="1">
      <c r="A47" s="45" t="s">
        <v>196</v>
      </c>
      <c r="B47" s="170">
        <v>2015</v>
      </c>
      <c r="C47" s="170">
        <v>2016</v>
      </c>
      <c r="D47" s="170">
        <v>2017</v>
      </c>
      <c r="E47" s="170">
        <v>2018</v>
      </c>
      <c r="F47" s="170">
        <v>2019</v>
      </c>
      <c r="G47" s="170">
        <v>2020</v>
      </c>
    </row>
    <row r="48" spans="1:17" s="27" customFormat="1" ht="15.75" thickBot="1">
      <c r="A48" s="205" t="s">
        <v>188</v>
      </c>
      <c r="B48" s="206"/>
      <c r="C48" s="206"/>
      <c r="D48" s="46"/>
      <c r="E48" s="46">
        <f>+D55</f>
        <v>69419853</v>
      </c>
      <c r="F48" s="46">
        <f>+E55</f>
        <v>53522787</v>
      </c>
      <c r="G48" s="46">
        <f>+F55</f>
        <v>63501938</v>
      </c>
    </row>
    <row r="49" spans="1:25" s="27" customFormat="1" ht="16.5" thickBot="1">
      <c r="A49" s="205" t="s">
        <v>189</v>
      </c>
      <c r="B49" s="206"/>
      <c r="C49" s="206"/>
      <c r="D49" s="46"/>
      <c r="E49" s="46"/>
      <c r="F49" s="46"/>
      <c r="G49" s="46"/>
      <c r="I49" s="203"/>
      <c r="J49" s="203" t="s">
        <v>206</v>
      </c>
      <c r="K49" s="215">
        <v>7.4999999999999997E-2</v>
      </c>
      <c r="L49" s="203"/>
      <c r="M49" s="203"/>
      <c r="N49" s="203"/>
      <c r="O49" s="203"/>
      <c r="P49" s="203"/>
      <c r="Q49" s="203"/>
      <c r="R49" s="203"/>
      <c r="S49" s="203"/>
      <c r="T49" s="203"/>
      <c r="U49" s="203"/>
      <c r="V49" s="203"/>
      <c r="W49" s="203"/>
      <c r="X49" s="203"/>
      <c r="Y49" s="203"/>
    </row>
    <row r="50" spans="1:25" s="27" customFormat="1" ht="16.5" thickBot="1">
      <c r="A50" s="205" t="s">
        <v>190</v>
      </c>
      <c r="B50" s="206"/>
      <c r="C50" s="206"/>
      <c r="D50" s="46">
        <v>65501136</v>
      </c>
      <c r="E50" s="46">
        <v>67793341</v>
      </c>
      <c r="F50" s="46">
        <v>59575272</v>
      </c>
      <c r="G50" s="46">
        <v>112262184</v>
      </c>
      <c r="I50" s="203"/>
      <c r="J50" s="203"/>
      <c r="K50" s="203"/>
      <c r="L50" s="203"/>
      <c r="M50" s="203"/>
      <c r="N50" s="203"/>
      <c r="O50" s="203"/>
      <c r="P50" s="203"/>
      <c r="Q50" s="203"/>
      <c r="R50" s="203"/>
      <c r="S50" s="203"/>
      <c r="T50" s="203"/>
      <c r="U50" s="203"/>
      <c r="V50" s="203"/>
      <c r="W50" s="203"/>
      <c r="X50" s="203"/>
      <c r="Y50" s="203"/>
    </row>
    <row r="51" spans="1:25" s="27" customFormat="1" ht="16.5" thickBot="1">
      <c r="A51" s="205" t="s">
        <v>191</v>
      </c>
      <c r="B51" s="206"/>
      <c r="C51" s="206"/>
      <c r="D51" s="46">
        <v>71876631</v>
      </c>
      <c r="E51" s="46">
        <v>85739188</v>
      </c>
      <c r="F51" s="46">
        <v>116650296</v>
      </c>
      <c r="G51" s="46">
        <v>157619746</v>
      </c>
      <c r="I51" s="203"/>
      <c r="J51" s="203"/>
      <c r="K51" s="203"/>
      <c r="L51" s="203"/>
      <c r="M51" s="203"/>
      <c r="N51" s="203"/>
      <c r="O51" s="203"/>
      <c r="P51" s="203"/>
      <c r="Q51" s="203"/>
      <c r="R51" s="203"/>
      <c r="S51" s="203"/>
      <c r="T51" s="203"/>
      <c r="U51" s="203"/>
      <c r="V51" s="203"/>
      <c r="W51" s="203"/>
      <c r="X51" s="203"/>
      <c r="Y51" s="203"/>
    </row>
    <row r="52" spans="1:25" s="27" customFormat="1" ht="17.25" thickBot="1">
      <c r="A52" s="205" t="s">
        <v>192</v>
      </c>
      <c r="B52" s="207"/>
      <c r="C52" s="207"/>
      <c r="D52" s="207"/>
      <c r="E52" s="207"/>
      <c r="F52" s="208"/>
      <c r="G52" s="208"/>
      <c r="I52" s="203"/>
      <c r="J52" s="203"/>
      <c r="K52" s="203"/>
      <c r="L52" s="203"/>
      <c r="M52" s="203"/>
      <c r="N52" s="203"/>
      <c r="O52" s="203"/>
      <c r="P52" s="203"/>
      <c r="Q52" s="203"/>
      <c r="R52" s="203"/>
      <c r="S52" s="203"/>
      <c r="T52" s="203"/>
      <c r="U52" s="203"/>
      <c r="V52" s="203"/>
      <c r="W52" s="203"/>
      <c r="X52" s="203"/>
      <c r="Y52" s="203"/>
    </row>
    <row r="53" spans="1:25" s="27" customFormat="1" ht="17.25" thickBot="1">
      <c r="A53" s="205" t="s">
        <v>193</v>
      </c>
      <c r="B53" s="207"/>
      <c r="C53" s="207"/>
      <c r="D53" s="207"/>
      <c r="E53" s="207"/>
      <c r="F53" s="208"/>
      <c r="G53" s="208"/>
      <c r="I53" s="203"/>
      <c r="J53" s="203"/>
      <c r="K53" s="203"/>
      <c r="L53" s="203"/>
      <c r="M53" s="203"/>
      <c r="N53" s="203"/>
      <c r="O53" s="203"/>
      <c r="P53" s="203"/>
      <c r="Q53" s="203"/>
      <c r="R53" s="203"/>
      <c r="S53" s="203"/>
      <c r="T53" s="203"/>
      <c r="U53" s="203"/>
      <c r="V53" s="203"/>
      <c r="W53" s="203"/>
      <c r="X53" s="203"/>
      <c r="Y53" s="203"/>
    </row>
    <row r="54" spans="1:25" s="27" customFormat="1" ht="17.25" thickBot="1">
      <c r="A54" s="205" t="s">
        <v>194</v>
      </c>
      <c r="B54" s="206"/>
      <c r="C54" s="206"/>
      <c r="D54" s="46">
        <v>67957914</v>
      </c>
      <c r="E54" s="46">
        <v>100009742</v>
      </c>
      <c r="F54" s="46">
        <v>112723630</v>
      </c>
      <c r="G54" s="46">
        <v>98620151</v>
      </c>
      <c r="H54" s="204"/>
      <c r="I54" s="204"/>
      <c r="J54" s="204"/>
      <c r="K54" s="204"/>
      <c r="L54" s="204"/>
      <c r="M54" s="204"/>
      <c r="N54" s="204"/>
      <c r="O54" s="204"/>
      <c r="P54" s="204"/>
      <c r="Q54" s="204"/>
      <c r="R54" s="204"/>
      <c r="S54" s="204"/>
      <c r="T54" s="204"/>
      <c r="U54" s="204"/>
      <c r="V54" s="204"/>
      <c r="W54" s="204"/>
      <c r="X54" s="204"/>
      <c r="Y54" s="204"/>
    </row>
    <row r="55" spans="1:25" s="27" customFormat="1" ht="16.5" thickBot="1">
      <c r="A55" s="205" t="s">
        <v>195</v>
      </c>
      <c r="B55" s="206"/>
      <c r="C55" s="206"/>
      <c r="D55" s="46">
        <f>+D50+D51-D54</f>
        <v>69419853</v>
      </c>
      <c r="E55" s="46">
        <f>+E50+E51-E54</f>
        <v>53522787</v>
      </c>
      <c r="F55" s="46">
        <f>+F50+F51-F54</f>
        <v>63501938</v>
      </c>
      <c r="G55" s="46">
        <f>+G50+G51-G54</f>
        <v>171261779</v>
      </c>
      <c r="H55" s="203"/>
      <c r="I55" s="203"/>
      <c r="J55" s="203"/>
      <c r="K55" s="203"/>
      <c r="L55" s="203"/>
      <c r="M55" s="203"/>
      <c r="N55" s="203"/>
      <c r="O55" s="203"/>
      <c r="P55" s="203"/>
      <c r="Q55" s="203"/>
      <c r="R55" s="203"/>
      <c r="S55" s="203"/>
      <c r="T55" s="203"/>
      <c r="U55" s="203"/>
      <c r="V55" s="203"/>
      <c r="W55" s="203"/>
      <c r="X55" s="203"/>
      <c r="Y55" s="203"/>
    </row>
    <row r="56" spans="1:25" s="27" customFormat="1">
      <c r="I56" s="37"/>
      <c r="J56" s="37"/>
      <c r="K56" s="37"/>
      <c r="L56" s="37"/>
      <c r="M56" s="37"/>
      <c r="N56" s="37"/>
      <c r="O56" s="37"/>
      <c r="P56" s="37"/>
    </row>
    <row r="57" spans="1:25" s="27" customFormat="1">
      <c r="I57" s="37"/>
      <c r="J57" s="37"/>
      <c r="K57" s="37"/>
      <c r="L57" s="37"/>
      <c r="M57" s="37"/>
      <c r="N57" s="37"/>
      <c r="O57" s="37"/>
      <c r="P57" s="37"/>
    </row>
    <row r="58" spans="1:25" s="27" customFormat="1">
      <c r="I58" s="37"/>
      <c r="J58" s="37"/>
      <c r="K58" s="37"/>
      <c r="L58" s="37"/>
      <c r="M58" s="37"/>
      <c r="N58" s="37"/>
      <c r="O58" s="37"/>
      <c r="P58" s="37"/>
    </row>
    <row r="59" spans="1:25" s="27" customFormat="1">
      <c r="I59" s="37"/>
      <c r="J59" s="37"/>
      <c r="K59" s="37"/>
      <c r="L59" s="37"/>
      <c r="M59" s="37"/>
      <c r="N59" s="37"/>
      <c r="O59" s="37"/>
      <c r="P59" s="37"/>
    </row>
    <row r="60" spans="1:25" s="27" customFormat="1">
      <c r="I60" s="37"/>
      <c r="J60" s="37"/>
      <c r="K60" s="37"/>
      <c r="L60" s="37"/>
      <c r="M60" s="37"/>
      <c r="N60" s="37"/>
      <c r="O60" s="37"/>
      <c r="P60" s="37"/>
    </row>
    <row r="61" spans="1:25" s="27" customFormat="1">
      <c r="I61" s="37"/>
      <c r="J61" s="37"/>
      <c r="K61" s="37"/>
      <c r="L61" s="37"/>
      <c r="M61" s="37"/>
      <c r="N61" s="37"/>
      <c r="O61" s="37"/>
      <c r="P61" s="37"/>
    </row>
    <row r="62" spans="1:25" s="27" customFormat="1">
      <c r="I62" s="37"/>
      <c r="J62" s="37"/>
      <c r="K62" s="37"/>
      <c r="L62" s="37"/>
      <c r="M62" s="37"/>
      <c r="N62" s="37"/>
      <c r="O62" s="37"/>
      <c r="P62" s="37"/>
    </row>
    <row r="63" spans="1:25" s="27" customFormat="1">
      <c r="I63" s="37"/>
      <c r="J63" s="37"/>
      <c r="K63" s="37"/>
      <c r="L63" s="37"/>
      <c r="M63" s="37"/>
      <c r="N63" s="37"/>
      <c r="O63" s="37"/>
      <c r="P63" s="37"/>
    </row>
    <row r="64" spans="1:25" s="27" customFormat="1">
      <c r="I64" s="37"/>
      <c r="J64" s="37"/>
      <c r="K64" s="37"/>
      <c r="L64" s="37"/>
      <c r="M64" s="37"/>
      <c r="N64" s="37"/>
      <c r="O64" s="37"/>
      <c r="P64" s="37"/>
    </row>
    <row r="65" spans="1:17" s="27" customFormat="1">
      <c r="I65" s="37"/>
      <c r="J65" s="37"/>
      <c r="K65" s="37"/>
      <c r="L65" s="37"/>
      <c r="M65" s="37"/>
      <c r="N65" s="37"/>
      <c r="O65" s="37"/>
      <c r="P65" s="37"/>
    </row>
    <row r="66" spans="1:17" s="27" customFormat="1">
      <c r="I66" s="37"/>
      <c r="J66" s="37"/>
      <c r="K66" s="37"/>
      <c r="L66" s="37"/>
      <c r="M66" s="37"/>
      <c r="N66" s="37"/>
      <c r="O66" s="37"/>
      <c r="P66" s="37"/>
    </row>
    <row r="67" spans="1:17" s="27" customFormat="1">
      <c r="I67" s="37"/>
      <c r="J67" s="37"/>
      <c r="K67" s="37"/>
      <c r="L67" s="37"/>
      <c r="M67" s="37"/>
      <c r="N67" s="37"/>
      <c r="O67" s="37"/>
      <c r="P67" s="37"/>
    </row>
    <row r="68" spans="1:17" s="27" customFormat="1">
      <c r="I68" s="37"/>
      <c r="J68" s="37"/>
      <c r="K68" s="37"/>
      <c r="L68" s="37"/>
      <c r="M68" s="37"/>
      <c r="N68" s="37"/>
      <c r="O68" s="37"/>
      <c r="P68" s="37"/>
    </row>
    <row r="69" spans="1:17" s="27" customFormat="1">
      <c r="I69" s="37"/>
      <c r="J69" s="37"/>
      <c r="K69" s="37"/>
      <c r="L69" s="37"/>
      <c r="M69" s="37"/>
      <c r="N69" s="37"/>
      <c r="O69" s="37"/>
      <c r="P69" s="37"/>
    </row>
    <row r="70" spans="1:17" s="27" customFormat="1">
      <c r="I70" s="37"/>
      <c r="J70" s="37"/>
      <c r="K70" s="37"/>
      <c r="L70" s="37"/>
      <c r="M70" s="37"/>
      <c r="N70" s="37"/>
      <c r="O70" s="37"/>
      <c r="P70" s="37"/>
    </row>
    <row r="71" spans="1:17" s="27" customFormat="1">
      <c r="I71" s="37"/>
      <c r="J71" s="37"/>
      <c r="K71" s="37"/>
      <c r="L71" s="37"/>
      <c r="M71" s="37"/>
      <c r="N71" s="37"/>
      <c r="O71" s="37"/>
      <c r="P71" s="37"/>
    </row>
    <row r="72" spans="1:17" s="27" customFormat="1">
      <c r="I72" s="37"/>
      <c r="J72" s="37"/>
      <c r="K72" s="37"/>
      <c r="L72" s="37"/>
      <c r="M72" s="37"/>
      <c r="N72" s="37"/>
      <c r="O72" s="37"/>
      <c r="P72" s="37"/>
    </row>
    <row r="73" spans="1:17" s="27" customFormat="1">
      <c r="I73" s="37"/>
      <c r="J73" s="37"/>
      <c r="K73" s="37"/>
      <c r="L73" s="37"/>
      <c r="M73" s="37"/>
      <c r="N73" s="37"/>
      <c r="O73" s="37"/>
      <c r="P73" s="37"/>
    </row>
    <row r="74" spans="1:17" s="27" customFormat="1">
      <c r="A74" s="37"/>
      <c r="B74" s="37"/>
      <c r="C74" s="37"/>
      <c r="D74" s="37"/>
      <c r="E74" s="37"/>
      <c r="F74" s="37"/>
      <c r="G74" s="37"/>
      <c r="H74" s="37"/>
      <c r="I74" s="37"/>
      <c r="J74" s="37"/>
      <c r="K74" s="37"/>
      <c r="L74" s="37"/>
      <c r="M74" s="37"/>
      <c r="N74" s="37"/>
      <c r="O74" s="37"/>
      <c r="P74" s="37"/>
    </row>
    <row r="75" spans="1:17" s="27" customFormat="1">
      <c r="A75" s="37"/>
      <c r="B75" s="37"/>
      <c r="C75" s="37"/>
      <c r="D75" s="37"/>
      <c r="E75" s="37"/>
      <c r="F75" s="37"/>
      <c r="G75" s="37"/>
      <c r="H75" s="37"/>
      <c r="I75" s="37"/>
      <c r="J75" s="37"/>
      <c r="K75" s="37"/>
      <c r="L75" s="37"/>
      <c r="M75" s="37"/>
      <c r="N75" s="37"/>
      <c r="O75" s="37"/>
      <c r="P75" s="37"/>
    </row>
    <row r="76" spans="1:17" s="27" customFormat="1">
      <c r="A76" s="37"/>
      <c r="B76" s="37"/>
      <c r="C76" s="37"/>
      <c r="D76" s="37"/>
      <c r="E76" s="37"/>
      <c r="F76" s="37"/>
      <c r="G76" s="37"/>
      <c r="H76" s="37"/>
      <c r="I76" s="27" t="s">
        <v>222</v>
      </c>
      <c r="J76" s="27" t="s">
        <v>213</v>
      </c>
      <c r="M76" s="37"/>
      <c r="N76" s="37"/>
      <c r="O76" s="37"/>
      <c r="P76" s="37"/>
    </row>
    <row r="77" spans="1:17" s="27" customFormat="1">
      <c r="A77" s="37"/>
      <c r="B77" s="37"/>
      <c r="C77" s="37"/>
      <c r="D77" s="37"/>
      <c r="E77" s="37"/>
      <c r="F77" s="37"/>
      <c r="G77" s="37"/>
      <c r="H77" s="37"/>
      <c r="I77" s="37" t="s">
        <v>214</v>
      </c>
      <c r="J77" s="37"/>
      <c r="K77" s="37" t="s">
        <v>215</v>
      </c>
      <c r="L77" s="37"/>
      <c r="M77" s="37"/>
      <c r="N77" s="37"/>
      <c r="O77" s="37"/>
      <c r="P77" s="37"/>
      <c r="Q77" s="216">
        <v>1.46E-2</v>
      </c>
    </row>
    <row r="78" spans="1:17" s="27" customFormat="1">
      <c r="A78" s="37"/>
      <c r="B78" s="37"/>
      <c r="C78" s="37"/>
      <c r="D78" s="37"/>
      <c r="E78" s="37"/>
      <c r="F78" s="37"/>
      <c r="G78" s="37"/>
      <c r="H78" s="37"/>
      <c r="I78" s="37" t="s">
        <v>216</v>
      </c>
      <c r="J78" s="37"/>
      <c r="K78" s="37" t="s">
        <v>217</v>
      </c>
      <c r="L78" s="37"/>
      <c r="M78" s="37"/>
      <c r="N78" s="37"/>
      <c r="O78" s="37"/>
      <c r="P78" s="37"/>
      <c r="Q78" s="27">
        <v>1.86</v>
      </c>
    </row>
    <row r="79" spans="1:17" s="27" customFormat="1">
      <c r="A79" s="37"/>
      <c r="B79" s="37"/>
      <c r="C79" s="37"/>
      <c r="D79" s="37"/>
      <c r="E79" s="37"/>
      <c r="F79" s="37"/>
      <c r="G79" s="37"/>
      <c r="H79" s="37"/>
      <c r="I79" s="27" t="s">
        <v>219</v>
      </c>
      <c r="J79" s="37"/>
      <c r="K79" s="37" t="s">
        <v>218</v>
      </c>
      <c r="L79" s="37"/>
      <c r="M79" s="37"/>
      <c r="N79" s="37"/>
      <c r="O79" s="37"/>
      <c r="P79" s="37"/>
      <c r="Q79" s="210">
        <v>4.36E-2</v>
      </c>
    </row>
    <row r="80" spans="1:17" s="27" customFormat="1">
      <c r="A80" s="37"/>
      <c r="B80" s="37"/>
      <c r="C80" s="37"/>
      <c r="D80" s="37"/>
      <c r="E80" s="37"/>
      <c r="F80" s="37"/>
      <c r="G80" s="37"/>
      <c r="H80" s="37"/>
      <c r="I80" s="37" t="s">
        <v>221</v>
      </c>
      <c r="J80" s="37"/>
      <c r="K80" s="37" t="s">
        <v>220</v>
      </c>
      <c r="L80" s="37"/>
      <c r="M80" s="37"/>
      <c r="N80" s="37"/>
      <c r="O80" s="37"/>
      <c r="P80" s="37"/>
      <c r="Q80" s="218">
        <v>6.7100000000000007E-2</v>
      </c>
    </row>
    <row r="81" spans="1:16" s="27" customFormat="1">
      <c r="A81" s="37"/>
      <c r="B81" s="37"/>
      <c r="C81" s="37"/>
      <c r="D81" s="37"/>
      <c r="E81" s="37"/>
      <c r="F81" s="37"/>
      <c r="G81" s="37"/>
      <c r="H81" s="37"/>
      <c r="I81" s="37" t="s">
        <v>227</v>
      </c>
      <c r="J81" s="37"/>
      <c r="K81" s="37"/>
      <c r="L81" s="37"/>
      <c r="M81" s="37"/>
      <c r="N81" s="37"/>
      <c r="O81" s="37"/>
      <c r="P81" s="37"/>
    </row>
    <row r="82" spans="1:16" s="27" customFormat="1">
      <c r="A82" s="37"/>
      <c r="B82" s="37"/>
      <c r="C82" s="37"/>
      <c r="D82" s="37"/>
      <c r="E82" s="37"/>
      <c r="F82" s="37"/>
      <c r="G82" s="37"/>
      <c r="H82" s="37"/>
      <c r="I82" s="37"/>
      <c r="K82" s="37"/>
      <c r="L82" s="37"/>
      <c r="M82" s="38"/>
      <c r="N82" s="38"/>
      <c r="O82" s="38"/>
      <c r="P82" s="38"/>
    </row>
    <row r="83" spans="1:16">
      <c r="I83" s="37"/>
      <c r="J83" s="37"/>
      <c r="K83" s="37"/>
      <c r="L83" s="37"/>
    </row>
    <row r="84" spans="1:16">
      <c r="J84" s="37"/>
      <c r="K84" s="37"/>
      <c r="L84" s="37"/>
    </row>
    <row r="85" spans="1:16">
      <c r="I85" s="37"/>
      <c r="J85" s="37"/>
      <c r="K85" s="37"/>
      <c r="L85" s="37"/>
    </row>
  </sheetData>
  <mergeCells count="9">
    <mergeCell ref="A4:G4"/>
    <mergeCell ref="J4:P4"/>
    <mergeCell ref="A46:G46"/>
    <mergeCell ref="A1:G1"/>
    <mergeCell ref="J1:P1"/>
    <mergeCell ref="A2:G2"/>
    <mergeCell ref="J2:P2"/>
    <mergeCell ref="A3:G3"/>
    <mergeCell ref="J3:P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showGridLines="0" zoomScale="85" zoomScaleNormal="85" workbookViewId="0">
      <selection sqref="A1:B2"/>
    </sheetView>
  </sheetViews>
  <sheetFormatPr baseColWidth="10" defaultRowHeight="14.25"/>
  <cols>
    <col min="1" max="1" width="56.42578125" style="1" customWidth="1"/>
    <col min="2" max="2" width="53.42578125" style="1" customWidth="1"/>
    <col min="3" max="16384" width="11.42578125" style="1"/>
  </cols>
  <sheetData>
    <row r="1" spans="1:2" ht="15" customHeight="1">
      <c r="A1" s="402" t="s">
        <v>4</v>
      </c>
      <c r="B1" s="402"/>
    </row>
    <row r="2" spans="1:2" ht="27.75" customHeight="1" thickBot="1">
      <c r="A2" s="403"/>
      <c r="B2" s="403"/>
    </row>
    <row r="3" spans="1:2" ht="35.25" customHeight="1" thickBot="1">
      <c r="A3" s="384" t="s">
        <v>0</v>
      </c>
      <c r="B3" s="384" t="s">
        <v>1</v>
      </c>
    </row>
    <row r="4" spans="1:2" ht="35.25" customHeight="1">
      <c r="A4" s="4" t="s">
        <v>8</v>
      </c>
      <c r="B4" s="4" t="s">
        <v>17</v>
      </c>
    </row>
    <row r="5" spans="1:2" ht="35.25" customHeight="1">
      <c r="A5" s="4" t="s">
        <v>6</v>
      </c>
      <c r="B5" s="4" t="s">
        <v>27</v>
      </c>
    </row>
    <row r="6" spans="1:2" ht="35.25" customHeight="1">
      <c r="A6" s="4" t="s">
        <v>14</v>
      </c>
      <c r="B6" s="4" t="s">
        <v>28</v>
      </c>
    </row>
    <row r="7" spans="1:2" ht="35.25" customHeight="1">
      <c r="A7" s="4" t="s">
        <v>15</v>
      </c>
      <c r="B7" s="4"/>
    </row>
    <row r="8" spans="1:2" ht="35.25" customHeight="1" thickBot="1">
      <c r="A8" s="5" t="s">
        <v>16</v>
      </c>
      <c r="B8" s="5"/>
    </row>
    <row r="9" spans="1:2" ht="35.25" customHeight="1" thickBot="1">
      <c r="A9" s="384" t="s">
        <v>2</v>
      </c>
      <c r="B9" s="384" t="s">
        <v>3</v>
      </c>
    </row>
    <row r="10" spans="1:2" s="3" customFormat="1" ht="42" customHeight="1">
      <c r="A10" s="4" t="s">
        <v>21</v>
      </c>
      <c r="B10" s="4" t="s">
        <v>10</v>
      </c>
    </row>
    <row r="11" spans="1:2" s="3" customFormat="1" ht="48" customHeight="1">
      <c r="A11" s="4" t="s">
        <v>24</v>
      </c>
      <c r="B11" s="4" t="s">
        <v>23</v>
      </c>
    </row>
    <row r="12" spans="1:2" s="3" customFormat="1" ht="42" customHeight="1">
      <c r="A12" s="4" t="s">
        <v>18</v>
      </c>
      <c r="B12" s="4" t="s">
        <v>11</v>
      </c>
    </row>
    <row r="13" spans="1:2" s="3" customFormat="1" ht="42" customHeight="1">
      <c r="A13" s="4" t="s">
        <v>19</v>
      </c>
      <c r="B13" s="4" t="s">
        <v>12</v>
      </c>
    </row>
    <row r="14" spans="1:2" s="3" customFormat="1" ht="61.5" customHeight="1">
      <c r="A14" s="4" t="s">
        <v>26</v>
      </c>
      <c r="B14" s="4" t="s">
        <v>13</v>
      </c>
    </row>
    <row r="15" spans="1:2" s="3" customFormat="1" ht="42" customHeight="1">
      <c r="A15" s="4" t="s">
        <v>22</v>
      </c>
      <c r="B15" s="4" t="s">
        <v>9</v>
      </c>
    </row>
    <row r="16" spans="1:2" s="3" customFormat="1" ht="42" customHeight="1">
      <c r="A16" s="4" t="s">
        <v>25</v>
      </c>
      <c r="B16" s="4" t="s">
        <v>20</v>
      </c>
    </row>
    <row r="17" spans="1:2" s="3" customFormat="1" ht="42" customHeight="1" thickBot="1">
      <c r="A17" s="5" t="s">
        <v>29</v>
      </c>
      <c r="B17" s="6"/>
    </row>
  </sheetData>
  <mergeCells count="1">
    <mergeCell ref="A1:B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8"/>
  <sheetViews>
    <sheetView showGridLines="0" zoomScale="91" zoomScaleNormal="91" workbookViewId="0"/>
  </sheetViews>
  <sheetFormatPr baseColWidth="10" defaultRowHeight="15"/>
  <cols>
    <col min="1" max="2" width="28.42578125" customWidth="1"/>
    <col min="4" max="4" width="27.42578125" customWidth="1"/>
    <col min="5" max="5" width="30.42578125" customWidth="1"/>
    <col min="7" max="8" width="27.42578125" customWidth="1"/>
  </cols>
  <sheetData>
    <row r="1" spans="1:8" ht="28.5" customHeight="1" thickBot="1">
      <c r="D1" s="404" t="s">
        <v>131</v>
      </c>
      <c r="E1" s="405"/>
    </row>
    <row r="2" spans="1:8" ht="28.5" customHeight="1">
      <c r="D2" s="87" t="s">
        <v>132</v>
      </c>
      <c r="E2" s="88" t="s">
        <v>133</v>
      </c>
    </row>
    <row r="3" spans="1:8" ht="27.75" customHeight="1">
      <c r="D3" s="89" t="s">
        <v>134</v>
      </c>
      <c r="E3" s="90" t="s">
        <v>135</v>
      </c>
    </row>
    <row r="4" spans="1:8" ht="27.75" customHeight="1">
      <c r="D4" s="89" t="s">
        <v>136</v>
      </c>
      <c r="E4" s="91" t="s">
        <v>137</v>
      </c>
    </row>
    <row r="5" spans="1:8" ht="27.75" customHeight="1" thickBot="1">
      <c r="D5" s="89" t="s">
        <v>138</v>
      </c>
      <c r="E5" s="90" t="s">
        <v>139</v>
      </c>
    </row>
    <row r="6" spans="1:8" ht="27.75" customHeight="1" thickBot="1">
      <c r="A6" s="404" t="s">
        <v>140</v>
      </c>
      <c r="B6" s="405"/>
      <c r="D6" s="92"/>
      <c r="G6" s="404" t="s">
        <v>141</v>
      </c>
      <c r="H6" s="405"/>
    </row>
    <row r="7" spans="1:8" ht="27.75" customHeight="1" thickBot="1">
      <c r="A7" s="87" t="s">
        <v>132</v>
      </c>
      <c r="B7" s="88" t="s">
        <v>133</v>
      </c>
      <c r="G7" s="87" t="s">
        <v>132</v>
      </c>
      <c r="H7" s="88" t="s">
        <v>133</v>
      </c>
    </row>
    <row r="8" spans="1:8" ht="48.75" customHeight="1" thickBot="1">
      <c r="A8" s="93" t="s">
        <v>142</v>
      </c>
      <c r="B8" s="91" t="s">
        <v>143</v>
      </c>
      <c r="D8" s="406" t="s">
        <v>144</v>
      </c>
      <c r="E8" s="407"/>
      <c r="G8" s="93" t="s">
        <v>145</v>
      </c>
      <c r="H8" s="94" t="s">
        <v>146</v>
      </c>
    </row>
    <row r="9" spans="1:8" ht="45" customHeight="1" thickBot="1">
      <c r="A9" s="95" t="s">
        <v>147</v>
      </c>
      <c r="B9" s="96" t="s">
        <v>148</v>
      </c>
      <c r="D9" s="408"/>
      <c r="E9" s="409"/>
      <c r="G9" s="89" t="s">
        <v>149</v>
      </c>
      <c r="H9" s="91" t="s">
        <v>150</v>
      </c>
    </row>
    <row r="10" spans="1:8" ht="72" customHeight="1" thickBot="1">
      <c r="A10" s="92"/>
      <c r="D10" s="410"/>
      <c r="E10" s="411"/>
      <c r="G10" s="89" t="s">
        <v>151</v>
      </c>
      <c r="H10" s="94" t="s">
        <v>146</v>
      </c>
    </row>
    <row r="11" spans="1:8" ht="51.75" customHeight="1" thickBot="1">
      <c r="A11" s="92"/>
      <c r="G11" s="95" t="s">
        <v>152</v>
      </c>
      <c r="H11" s="96" t="s">
        <v>153</v>
      </c>
    </row>
    <row r="12" spans="1:8" ht="28.5" customHeight="1" thickBot="1">
      <c r="A12" s="92"/>
      <c r="D12" s="404" t="s">
        <v>154</v>
      </c>
      <c r="E12" s="405"/>
      <c r="G12" s="92"/>
    </row>
    <row r="13" spans="1:8" ht="28.5" customHeight="1" thickBot="1">
      <c r="D13" s="97" t="s">
        <v>132</v>
      </c>
      <c r="E13" s="98" t="s">
        <v>133</v>
      </c>
    </row>
    <row r="14" spans="1:8" ht="59.25" customHeight="1">
      <c r="D14" s="99" t="s">
        <v>155</v>
      </c>
      <c r="E14" s="100" t="s">
        <v>156</v>
      </c>
    </row>
    <row r="15" spans="1:8" ht="46.5" customHeight="1" thickBot="1">
      <c r="D15" s="95" t="s">
        <v>157</v>
      </c>
      <c r="E15" s="94" t="s">
        <v>158</v>
      </c>
    </row>
    <row r="16" spans="1:8" ht="44.25" customHeight="1"/>
    <row r="17" ht="44.25" customHeight="1"/>
    <row r="18" ht="44.25" customHeight="1"/>
  </sheetData>
  <mergeCells count="5">
    <mergeCell ref="D1:E1"/>
    <mergeCell ref="A6:B6"/>
    <mergeCell ref="G6:H6"/>
    <mergeCell ref="D8:E10"/>
    <mergeCell ref="D12:E1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40"/>
  <sheetViews>
    <sheetView showGridLines="0" zoomScale="85" zoomScaleNormal="85" workbookViewId="0">
      <selection sqref="A1:G6"/>
    </sheetView>
  </sheetViews>
  <sheetFormatPr baseColWidth="10" defaultRowHeight="15"/>
  <cols>
    <col min="1" max="1" width="19" bestFit="1" customWidth="1"/>
    <col min="2" max="2" width="50.85546875" bestFit="1" customWidth="1"/>
    <col min="3" max="3" width="9" customWidth="1"/>
    <col min="4" max="4" width="7" customWidth="1"/>
    <col min="5" max="5" width="7.140625" customWidth="1"/>
    <col min="6" max="6" width="7.140625" bestFit="1" customWidth="1"/>
    <col min="7" max="8" width="7" customWidth="1"/>
    <col min="9" max="9" width="7.5703125" customWidth="1"/>
    <col min="10" max="10" width="40.5703125" bestFit="1" customWidth="1"/>
    <col min="13" max="13" width="7.140625" bestFit="1" customWidth="1"/>
  </cols>
  <sheetData>
    <row r="1" spans="1:12">
      <c r="A1" s="412" t="s">
        <v>96</v>
      </c>
      <c r="B1" s="412"/>
      <c r="C1" s="412"/>
      <c r="D1" s="412"/>
      <c r="E1" s="412"/>
      <c r="F1" s="412"/>
      <c r="G1" s="412"/>
    </row>
    <row r="2" spans="1:12">
      <c r="A2" s="412"/>
      <c r="B2" s="412"/>
      <c r="C2" s="412"/>
      <c r="D2" s="412"/>
      <c r="E2" s="412"/>
      <c r="F2" s="412"/>
      <c r="G2" s="412"/>
    </row>
    <row r="3" spans="1:12">
      <c r="A3" s="412"/>
      <c r="B3" s="412"/>
      <c r="C3" s="412"/>
      <c r="D3" s="412"/>
      <c r="E3" s="412"/>
      <c r="F3" s="412"/>
      <c r="G3" s="412"/>
    </row>
    <row r="4" spans="1:12">
      <c r="A4" s="412"/>
      <c r="B4" s="412"/>
      <c r="C4" s="412"/>
      <c r="D4" s="412"/>
      <c r="E4" s="412"/>
      <c r="F4" s="412"/>
      <c r="G4" s="412"/>
    </row>
    <row r="5" spans="1:12">
      <c r="A5" s="412"/>
      <c r="B5" s="412"/>
      <c r="C5" s="412"/>
      <c r="D5" s="412"/>
      <c r="E5" s="412"/>
      <c r="F5" s="412"/>
      <c r="G5" s="412"/>
    </row>
    <row r="6" spans="1:12">
      <c r="A6" s="412"/>
      <c r="B6" s="412"/>
      <c r="C6" s="412"/>
      <c r="D6" s="412"/>
      <c r="E6" s="412"/>
      <c r="F6" s="412"/>
      <c r="G6" s="412"/>
    </row>
    <row r="7" spans="1:12" ht="15.75" thickBot="1"/>
    <row r="8" spans="1:12">
      <c r="A8" s="2" t="s">
        <v>80</v>
      </c>
      <c r="B8" s="2"/>
      <c r="C8" s="413" t="s">
        <v>81</v>
      </c>
      <c r="D8" s="413"/>
      <c r="E8" s="413"/>
      <c r="F8" s="413"/>
      <c r="G8" s="413" t="s">
        <v>82</v>
      </c>
      <c r="H8" s="413"/>
      <c r="I8" s="414"/>
      <c r="J8" s="2"/>
      <c r="K8" s="2"/>
      <c r="L8" s="2"/>
    </row>
    <row r="9" spans="1:12" ht="15.75" thickBot="1">
      <c r="A9" s="2"/>
      <c r="B9" s="8"/>
      <c r="C9" s="9">
        <v>2017</v>
      </c>
      <c r="D9" s="10">
        <v>2018</v>
      </c>
      <c r="E9" s="10">
        <v>2019</v>
      </c>
      <c r="F9" s="10">
        <v>2020</v>
      </c>
      <c r="G9" s="11">
        <v>2021</v>
      </c>
      <c r="H9" s="11">
        <v>2022</v>
      </c>
      <c r="I9" s="11">
        <v>2023</v>
      </c>
      <c r="J9" s="2"/>
      <c r="K9" s="2"/>
      <c r="L9" s="2"/>
    </row>
    <row r="10" spans="1:12">
      <c r="A10" s="12" t="s">
        <v>83</v>
      </c>
      <c r="B10" s="13" t="s">
        <v>84</v>
      </c>
      <c r="C10" s="14">
        <v>1.4E-2</v>
      </c>
      <c r="D10" s="14">
        <v>2.5999999999999999E-2</v>
      </c>
      <c r="E10" s="14">
        <v>3.3000000000000002E-2</v>
      </c>
      <c r="F10" s="14">
        <v>-6.8000000000000005E-2</v>
      </c>
      <c r="G10" s="14">
        <v>0.06</v>
      </c>
      <c r="H10" s="14">
        <v>4.1000000000000002E-2</v>
      </c>
      <c r="I10" s="15">
        <v>0.04</v>
      </c>
      <c r="J10" s="2"/>
      <c r="K10" s="2"/>
      <c r="L10" s="2"/>
    </row>
    <row r="11" spans="1:12">
      <c r="A11" s="12" t="s">
        <v>85</v>
      </c>
      <c r="B11" s="16" t="s">
        <v>86</v>
      </c>
      <c r="C11" s="17">
        <v>4.0899999999999999E-2</v>
      </c>
      <c r="D11" s="17">
        <v>3.1800000000000002E-2</v>
      </c>
      <c r="E11" s="17">
        <v>3.7999999999999999E-2</v>
      </c>
      <c r="F11" s="17">
        <v>1.61E-2</v>
      </c>
      <c r="G11" s="17">
        <v>0.03</v>
      </c>
      <c r="H11" s="17">
        <v>2.8000000000000001E-2</v>
      </c>
      <c r="I11" s="18">
        <v>2.23E-2</v>
      </c>
      <c r="J11" s="2"/>
      <c r="K11" s="2"/>
      <c r="L11" s="2"/>
    </row>
    <row r="12" spans="1:12">
      <c r="A12" s="12" t="s">
        <v>87</v>
      </c>
      <c r="B12" s="16" t="s">
        <v>88</v>
      </c>
      <c r="C12" s="19">
        <v>2951.32</v>
      </c>
      <c r="D12" s="19">
        <v>2956.43</v>
      </c>
      <c r="E12" s="19">
        <v>3280</v>
      </c>
      <c r="F12" s="19">
        <v>3310</v>
      </c>
      <c r="G12" s="19">
        <v>3290</v>
      </c>
      <c r="H12" s="19">
        <v>3280</v>
      </c>
      <c r="I12" s="20">
        <v>3270</v>
      </c>
      <c r="J12" s="2"/>
      <c r="K12" s="2"/>
      <c r="L12" s="2"/>
    </row>
    <row r="13" spans="1:12" ht="15.75" thickBot="1">
      <c r="A13" s="12" t="s">
        <v>89</v>
      </c>
      <c r="B13" s="21" t="s">
        <v>90</v>
      </c>
      <c r="C13" s="22">
        <v>9.3799999999999994E-2</v>
      </c>
      <c r="D13" s="22">
        <v>9.6799999999999997E-2</v>
      </c>
      <c r="E13" s="22">
        <v>0.105</v>
      </c>
      <c r="F13" s="22">
        <v>0.16070000000000001</v>
      </c>
      <c r="G13" s="22">
        <v>0.128</v>
      </c>
      <c r="H13" s="22">
        <v>0.123</v>
      </c>
      <c r="I13" s="23">
        <v>0.13500000000000001</v>
      </c>
      <c r="J13" s="2"/>
      <c r="K13" s="2"/>
      <c r="L13" s="2"/>
    </row>
    <row r="14" spans="1:12">
      <c r="A14" s="12" t="s">
        <v>91</v>
      </c>
      <c r="B14" s="8" t="s">
        <v>92</v>
      </c>
      <c r="C14" s="8"/>
      <c r="D14" s="8"/>
      <c r="E14" s="8"/>
      <c r="F14" s="8"/>
      <c r="G14" s="8"/>
      <c r="H14" s="8"/>
      <c r="I14" s="8"/>
      <c r="J14" s="8"/>
      <c r="K14" s="2"/>
      <c r="L14" s="2"/>
    </row>
    <row r="16" spans="1:12">
      <c r="A16" s="2" t="s">
        <v>93</v>
      </c>
      <c r="B16" s="2"/>
      <c r="C16" s="2"/>
      <c r="D16" s="2"/>
      <c r="E16" s="2"/>
      <c r="F16" s="2"/>
      <c r="G16" s="2"/>
      <c r="H16" s="2"/>
      <c r="I16" s="2"/>
      <c r="J16" s="2"/>
      <c r="K16" s="2"/>
      <c r="L16" s="2"/>
    </row>
    <row r="17" spans="1:12">
      <c r="A17" s="2"/>
      <c r="B17" s="2"/>
      <c r="C17" s="2"/>
      <c r="D17" s="2"/>
      <c r="E17" s="2"/>
      <c r="F17" s="2"/>
      <c r="G17" s="2"/>
      <c r="H17" s="2"/>
      <c r="I17" s="2"/>
      <c r="J17" s="2"/>
      <c r="K17" s="2"/>
      <c r="L17" s="2"/>
    </row>
    <row r="18" spans="1:12">
      <c r="A18" s="12" t="s">
        <v>83</v>
      </c>
      <c r="B18" s="2" t="s">
        <v>5</v>
      </c>
      <c r="C18" s="2"/>
      <c r="D18" s="2"/>
      <c r="E18" s="2"/>
      <c r="F18" s="2"/>
      <c r="G18" s="2"/>
      <c r="H18" s="2"/>
      <c r="I18" s="2"/>
      <c r="J18" s="2"/>
      <c r="K18" s="2"/>
      <c r="L18" s="2"/>
    </row>
    <row r="19" spans="1:12">
      <c r="A19" s="12" t="s">
        <v>85</v>
      </c>
      <c r="B19" s="2" t="s">
        <v>6</v>
      </c>
      <c r="C19" s="2"/>
      <c r="D19" s="2"/>
      <c r="E19" s="2"/>
      <c r="F19" s="2"/>
      <c r="G19" s="2"/>
      <c r="H19" s="2"/>
      <c r="I19" s="2"/>
      <c r="J19" s="2"/>
      <c r="K19" s="2"/>
      <c r="L19" s="2"/>
    </row>
    <row r="20" spans="1:12">
      <c r="A20" s="12" t="s">
        <v>83</v>
      </c>
      <c r="B20" s="2" t="s">
        <v>7</v>
      </c>
      <c r="C20" s="2"/>
      <c r="D20" s="2"/>
      <c r="E20" s="2"/>
      <c r="F20" s="2"/>
      <c r="G20" s="2"/>
      <c r="H20" s="2"/>
      <c r="I20" s="2"/>
      <c r="J20" s="2"/>
      <c r="K20" s="2"/>
      <c r="L20" s="2"/>
    </row>
    <row r="21" spans="1:12">
      <c r="A21" s="12"/>
      <c r="B21" s="2"/>
      <c r="C21" s="2"/>
      <c r="D21" s="2"/>
      <c r="E21" s="2"/>
      <c r="F21" s="2"/>
      <c r="G21" s="2"/>
      <c r="H21" s="2"/>
      <c r="I21" s="2"/>
      <c r="J21" s="2"/>
      <c r="K21" s="2"/>
      <c r="L21" s="2"/>
    </row>
    <row r="22" spans="1:12">
      <c r="A22" s="2"/>
      <c r="B22" s="2"/>
      <c r="C22" s="2"/>
      <c r="D22" s="2"/>
      <c r="E22" s="2"/>
      <c r="F22" s="2"/>
      <c r="G22" s="2"/>
      <c r="H22" s="2"/>
      <c r="I22" s="2"/>
      <c r="J22" s="2"/>
      <c r="K22" s="2"/>
      <c r="L22" s="2"/>
    </row>
    <row r="23" spans="1:12">
      <c r="A23" s="24" t="s">
        <v>94</v>
      </c>
      <c r="B23" s="2"/>
      <c r="C23" s="2"/>
      <c r="D23" s="2"/>
      <c r="E23" s="2"/>
      <c r="F23" s="2"/>
      <c r="G23" s="2"/>
      <c r="H23" s="2"/>
      <c r="I23" s="2"/>
      <c r="J23" s="2"/>
      <c r="K23" s="2"/>
      <c r="L23" s="2"/>
    </row>
    <row r="24" spans="1:12" ht="15.75" thickBot="1">
      <c r="A24" s="2"/>
      <c r="B24" s="2"/>
      <c r="C24" s="2"/>
      <c r="D24" s="2"/>
      <c r="E24" s="2"/>
      <c r="F24" s="2"/>
      <c r="G24" s="2"/>
      <c r="H24" s="2"/>
      <c r="I24" s="2"/>
      <c r="J24" s="2"/>
      <c r="K24" s="2"/>
      <c r="L24" s="2"/>
    </row>
    <row r="25" spans="1:12">
      <c r="A25" s="415" t="s">
        <v>95</v>
      </c>
      <c r="B25" s="416"/>
      <c r="C25" s="416"/>
      <c r="D25" s="416"/>
      <c r="E25" s="416"/>
      <c r="F25" s="416"/>
      <c r="G25" s="416"/>
      <c r="H25" s="416"/>
      <c r="I25" s="416"/>
      <c r="J25" s="416"/>
      <c r="K25" s="416"/>
      <c r="L25" s="417"/>
    </row>
    <row r="26" spans="1:12">
      <c r="A26" s="418"/>
      <c r="B26" s="419"/>
      <c r="C26" s="419"/>
      <c r="D26" s="419"/>
      <c r="E26" s="419"/>
      <c r="F26" s="419"/>
      <c r="G26" s="419"/>
      <c r="H26" s="419"/>
      <c r="I26" s="419"/>
      <c r="J26" s="419"/>
      <c r="K26" s="419"/>
      <c r="L26" s="420"/>
    </row>
    <row r="27" spans="1:12">
      <c r="A27" s="418"/>
      <c r="B27" s="419"/>
      <c r="C27" s="419"/>
      <c r="D27" s="419"/>
      <c r="E27" s="419"/>
      <c r="F27" s="419"/>
      <c r="G27" s="419"/>
      <c r="H27" s="419"/>
      <c r="I27" s="419"/>
      <c r="J27" s="419"/>
      <c r="K27" s="419"/>
      <c r="L27" s="420"/>
    </row>
    <row r="28" spans="1:12">
      <c r="A28" s="418"/>
      <c r="B28" s="419"/>
      <c r="C28" s="419"/>
      <c r="D28" s="419"/>
      <c r="E28" s="419"/>
      <c r="F28" s="419"/>
      <c r="G28" s="419"/>
      <c r="H28" s="419"/>
      <c r="I28" s="419"/>
      <c r="J28" s="419"/>
      <c r="K28" s="419"/>
      <c r="L28" s="420"/>
    </row>
    <row r="29" spans="1:12">
      <c r="A29" s="418"/>
      <c r="B29" s="419"/>
      <c r="C29" s="419"/>
      <c r="D29" s="419"/>
      <c r="E29" s="419"/>
      <c r="F29" s="419"/>
      <c r="G29" s="419"/>
      <c r="H29" s="419"/>
      <c r="I29" s="419"/>
      <c r="J29" s="419"/>
      <c r="K29" s="419"/>
      <c r="L29" s="420"/>
    </row>
    <row r="30" spans="1:12">
      <c r="A30" s="418"/>
      <c r="B30" s="419"/>
      <c r="C30" s="419"/>
      <c r="D30" s="419"/>
      <c r="E30" s="419"/>
      <c r="F30" s="419"/>
      <c r="G30" s="419"/>
      <c r="H30" s="419"/>
      <c r="I30" s="419"/>
      <c r="J30" s="419"/>
      <c r="K30" s="419"/>
      <c r="L30" s="420"/>
    </row>
    <row r="31" spans="1:12">
      <c r="A31" s="418"/>
      <c r="B31" s="419"/>
      <c r="C31" s="419"/>
      <c r="D31" s="419"/>
      <c r="E31" s="419"/>
      <c r="F31" s="419"/>
      <c r="G31" s="419"/>
      <c r="H31" s="419"/>
      <c r="I31" s="419"/>
      <c r="J31" s="419"/>
      <c r="K31" s="419"/>
      <c r="L31" s="420"/>
    </row>
    <row r="32" spans="1:12">
      <c r="A32" s="418"/>
      <c r="B32" s="419"/>
      <c r="C32" s="419"/>
      <c r="D32" s="419"/>
      <c r="E32" s="419"/>
      <c r="F32" s="419"/>
      <c r="G32" s="419"/>
      <c r="H32" s="419"/>
      <c r="I32" s="419"/>
      <c r="J32" s="419"/>
      <c r="K32" s="419"/>
      <c r="L32" s="420"/>
    </row>
    <row r="33" spans="1:12">
      <c r="A33" s="418"/>
      <c r="B33" s="419"/>
      <c r="C33" s="419"/>
      <c r="D33" s="419"/>
      <c r="E33" s="419"/>
      <c r="F33" s="419"/>
      <c r="G33" s="419"/>
      <c r="H33" s="419"/>
      <c r="I33" s="419"/>
      <c r="J33" s="419"/>
      <c r="K33" s="419"/>
      <c r="L33" s="420"/>
    </row>
    <row r="34" spans="1:12">
      <c r="A34" s="418"/>
      <c r="B34" s="419"/>
      <c r="C34" s="419"/>
      <c r="D34" s="419"/>
      <c r="E34" s="419"/>
      <c r="F34" s="419"/>
      <c r="G34" s="419"/>
      <c r="H34" s="419"/>
      <c r="I34" s="419"/>
      <c r="J34" s="419"/>
      <c r="K34" s="419"/>
      <c r="L34" s="420"/>
    </row>
    <row r="35" spans="1:12">
      <c r="A35" s="418"/>
      <c r="B35" s="419"/>
      <c r="C35" s="419"/>
      <c r="D35" s="419"/>
      <c r="E35" s="419"/>
      <c r="F35" s="419"/>
      <c r="G35" s="419"/>
      <c r="H35" s="419"/>
      <c r="I35" s="419"/>
      <c r="J35" s="419"/>
      <c r="K35" s="419"/>
      <c r="L35" s="420"/>
    </row>
    <row r="36" spans="1:12">
      <c r="A36" s="418"/>
      <c r="B36" s="419"/>
      <c r="C36" s="419"/>
      <c r="D36" s="419"/>
      <c r="E36" s="419"/>
      <c r="F36" s="419"/>
      <c r="G36" s="419"/>
      <c r="H36" s="419"/>
      <c r="I36" s="419"/>
      <c r="J36" s="419"/>
      <c r="K36" s="419"/>
      <c r="L36" s="420"/>
    </row>
    <row r="37" spans="1:12">
      <c r="A37" s="418"/>
      <c r="B37" s="419"/>
      <c r="C37" s="419"/>
      <c r="D37" s="419"/>
      <c r="E37" s="419"/>
      <c r="F37" s="419"/>
      <c r="G37" s="419"/>
      <c r="H37" s="419"/>
      <c r="I37" s="419"/>
      <c r="J37" s="419"/>
      <c r="K37" s="419"/>
      <c r="L37" s="420"/>
    </row>
    <row r="38" spans="1:12">
      <c r="A38" s="418"/>
      <c r="B38" s="419"/>
      <c r="C38" s="419"/>
      <c r="D38" s="419"/>
      <c r="E38" s="419"/>
      <c r="F38" s="419"/>
      <c r="G38" s="419"/>
      <c r="H38" s="419"/>
      <c r="I38" s="419"/>
      <c r="J38" s="419"/>
      <c r="K38" s="419"/>
      <c r="L38" s="420"/>
    </row>
    <row r="39" spans="1:12" ht="15.75" thickBot="1">
      <c r="A39" s="421"/>
      <c r="B39" s="422"/>
      <c r="C39" s="422"/>
      <c r="D39" s="422"/>
      <c r="E39" s="422"/>
      <c r="F39" s="422"/>
      <c r="G39" s="422"/>
      <c r="H39" s="422"/>
      <c r="I39" s="422"/>
      <c r="J39" s="422"/>
      <c r="K39" s="422"/>
      <c r="L39" s="423"/>
    </row>
    <row r="40" spans="1:12">
      <c r="A40" s="25"/>
      <c r="B40" s="25"/>
      <c r="C40" s="25"/>
      <c r="D40" s="25"/>
      <c r="E40" s="25"/>
      <c r="F40" s="25"/>
      <c r="G40" s="25"/>
      <c r="H40" s="25"/>
      <c r="I40" s="25"/>
      <c r="J40" s="26"/>
    </row>
  </sheetData>
  <mergeCells count="4">
    <mergeCell ref="A1:G6"/>
    <mergeCell ref="C8:F8"/>
    <mergeCell ref="G8:I8"/>
    <mergeCell ref="A25:L39"/>
  </mergeCells>
  <pageMargins left="0.7" right="0.7" top="0.75" bottom="0.75" header="0.3" footer="0.3"/>
  <pageSetup paperSize="9" orientation="portrait" r:id="rId1"/>
  <drawing r:id="rId2"/>
  <extLst>
    <ext xmlns:x14="http://schemas.microsoft.com/office/spreadsheetml/2009/9/main" uri="{05C60535-1F16-4fd2-B633-F4F36F0B64E0}">
      <x14:sparklineGroups xmlns:xm="http://schemas.microsoft.com/office/excel/2006/main">
        <x14:sparklineGroup displayEmptyCellsAs="gap" xr2:uid="{00000000-0003-0000-0300-000000000000}">
          <x14:colorSeries theme="9" tint="-0.499984740745262"/>
          <x14:colorNegative theme="4"/>
          <x14:colorAxis rgb="FF000000"/>
          <x14:colorMarkers theme="9" tint="-0.499984740745262"/>
          <x14:colorFirst theme="9" tint="0.39997558519241921"/>
          <x14:colorLast theme="9" tint="0.39997558519241921"/>
          <x14:colorHigh theme="9"/>
          <x14:colorLow theme="9"/>
          <x14:sparklines>
            <x14:sparkline>
              <xm:f>Variables!C10:I10</xm:f>
              <xm:sqref>J10</xm:sqref>
            </x14:sparkline>
            <x14:sparkline>
              <xm:f>Variables!C11:I11</xm:f>
              <xm:sqref>J11</xm:sqref>
            </x14:sparkline>
            <x14:sparkline>
              <xm:f>Variables!C12:I12</xm:f>
              <xm:sqref>J12</xm:sqref>
            </x14:sparkline>
            <x14:sparkline>
              <xm:f>Variables!C13:I13</xm:f>
              <xm:sqref>J13</xm:sqref>
            </x14:sparkline>
          </x14:sparklines>
        </x14:sparklineGroup>
      </x14:sparklineGroup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85"/>
  <sheetViews>
    <sheetView zoomScaleNormal="100" workbookViewId="0">
      <selection activeCell="N9" sqref="N9"/>
    </sheetView>
  </sheetViews>
  <sheetFormatPr baseColWidth="10" defaultRowHeight="15"/>
  <cols>
    <col min="1" max="1" width="45.28515625" style="66" bestFit="1" customWidth="1"/>
    <col min="2" max="4" width="5.42578125" style="66" bestFit="1" customWidth="1"/>
    <col min="5" max="7" width="4.85546875" style="66" bestFit="1" customWidth="1"/>
    <col min="8" max="8" width="4.28515625" style="38" customWidth="1"/>
    <col min="9" max="9" width="6" style="38" customWidth="1"/>
    <col min="10" max="10" width="36.28515625" style="38" bestFit="1" customWidth="1"/>
    <col min="11" max="11" width="9" style="38" bestFit="1" customWidth="1"/>
    <col min="12" max="12" width="8" style="38" bestFit="1" customWidth="1"/>
    <col min="13" max="13" width="7.140625" style="38" bestFit="1" customWidth="1"/>
    <col min="14" max="15" width="5.7109375" style="38" bestFit="1" customWidth="1"/>
    <col min="16" max="16" width="7" style="38" bestFit="1" customWidth="1"/>
    <col min="17" max="18" width="5.85546875" style="7" customWidth="1"/>
    <col min="19" max="20" width="11.42578125" style="7"/>
    <col min="21" max="21" width="18.42578125" style="7" bestFit="1" customWidth="1"/>
    <col min="22" max="22" width="13.28515625" style="7" bestFit="1" customWidth="1"/>
    <col min="23" max="24" width="13.7109375" style="7" bestFit="1" customWidth="1"/>
    <col min="25" max="16384" width="11.42578125" style="7"/>
  </cols>
  <sheetData>
    <row r="1" spans="1:20" ht="15.75" thickBot="1">
      <c r="A1" s="433" t="s">
        <v>100</v>
      </c>
      <c r="B1" s="434"/>
      <c r="C1" s="434"/>
      <c r="D1" s="434"/>
      <c r="E1" s="434"/>
      <c r="F1" s="434"/>
      <c r="G1" s="435"/>
      <c r="J1" s="430" t="s">
        <v>100</v>
      </c>
      <c r="K1" s="431"/>
      <c r="L1" s="431"/>
      <c r="M1" s="431"/>
      <c r="N1" s="431"/>
      <c r="O1" s="431"/>
      <c r="P1" s="432"/>
    </row>
    <row r="2" spans="1:20" ht="18" customHeight="1">
      <c r="A2" s="433" t="s">
        <v>97</v>
      </c>
      <c r="B2" s="434"/>
      <c r="C2" s="434"/>
      <c r="D2" s="434"/>
      <c r="E2" s="434"/>
      <c r="F2" s="434"/>
      <c r="G2" s="435"/>
      <c r="J2" s="433" t="s">
        <v>159</v>
      </c>
      <c r="K2" s="434"/>
      <c r="L2" s="434"/>
      <c r="M2" s="434"/>
      <c r="N2" s="434"/>
      <c r="O2" s="434"/>
      <c r="P2" s="435"/>
    </row>
    <row r="3" spans="1:20" ht="18" customHeight="1">
      <c r="A3" s="436" t="s">
        <v>98</v>
      </c>
      <c r="B3" s="437"/>
      <c r="C3" s="437"/>
      <c r="D3" s="437"/>
      <c r="E3" s="437"/>
      <c r="F3" s="437"/>
      <c r="G3" s="438"/>
      <c r="J3" s="436" t="s">
        <v>98</v>
      </c>
      <c r="K3" s="437"/>
      <c r="L3" s="437"/>
      <c r="M3" s="437"/>
      <c r="N3" s="437"/>
      <c r="O3" s="437"/>
      <c r="P3" s="438"/>
    </row>
    <row r="4" spans="1:20" ht="18.75" customHeight="1" thickBot="1">
      <c r="A4" s="427" t="s">
        <v>99</v>
      </c>
      <c r="B4" s="428"/>
      <c r="C4" s="428"/>
      <c r="D4" s="428"/>
      <c r="E4" s="428"/>
      <c r="F4" s="428"/>
      <c r="G4" s="429"/>
      <c r="J4" s="427" t="s">
        <v>99</v>
      </c>
      <c r="K4" s="428"/>
      <c r="L4" s="428"/>
      <c r="M4" s="428"/>
      <c r="N4" s="428"/>
      <c r="O4" s="428"/>
      <c r="P4" s="429"/>
    </row>
    <row r="5" spans="1:20" s="30" customFormat="1" ht="13.5" thickBot="1">
      <c r="A5" s="39"/>
      <c r="B5" s="40">
        <v>2015</v>
      </c>
      <c r="C5" s="40">
        <v>2016</v>
      </c>
      <c r="D5" s="40">
        <v>2017</v>
      </c>
      <c r="E5" s="40">
        <v>2018</v>
      </c>
      <c r="F5" s="40">
        <v>2019</v>
      </c>
      <c r="G5" s="40">
        <v>2020</v>
      </c>
      <c r="H5" s="38"/>
      <c r="J5" s="39"/>
      <c r="K5" s="40">
        <v>2015</v>
      </c>
      <c r="L5" s="40">
        <v>2016</v>
      </c>
      <c r="M5" s="40">
        <v>2017</v>
      </c>
      <c r="N5" s="40">
        <v>2018</v>
      </c>
      <c r="O5" s="40">
        <v>2019</v>
      </c>
      <c r="P5" s="40">
        <v>2020</v>
      </c>
    </row>
    <row r="6" spans="1:20" s="27" customFormat="1" ht="15.75" thickBot="1">
      <c r="A6" s="41" t="s">
        <v>30</v>
      </c>
      <c r="B6" s="67"/>
      <c r="C6" s="67"/>
      <c r="D6" s="67"/>
      <c r="E6" s="67"/>
      <c r="F6" s="67"/>
      <c r="G6" s="68"/>
      <c r="H6" s="37"/>
      <c r="J6" s="101" t="s">
        <v>62</v>
      </c>
      <c r="K6" s="102"/>
      <c r="L6" s="102"/>
      <c r="M6" s="102"/>
      <c r="N6" s="102"/>
      <c r="O6" s="102"/>
      <c r="P6" s="103"/>
    </row>
    <row r="7" spans="1:20" s="28" customFormat="1" ht="15.75" thickBot="1">
      <c r="A7" s="42" t="s">
        <v>31</v>
      </c>
      <c r="B7" s="56"/>
      <c r="C7" s="56"/>
      <c r="D7" s="56"/>
      <c r="E7" s="56"/>
      <c r="F7" s="56"/>
      <c r="G7" s="69"/>
      <c r="H7" s="43"/>
      <c r="J7" s="45" t="s">
        <v>63</v>
      </c>
      <c r="K7" s="105">
        <v>904879380</v>
      </c>
      <c r="L7" s="105">
        <v>1043977031</v>
      </c>
      <c r="M7" s="105">
        <v>1262392367</v>
      </c>
      <c r="N7" s="105">
        <v>1860941447</v>
      </c>
      <c r="O7" s="105">
        <v>2869401050</v>
      </c>
      <c r="P7" s="105">
        <v>3417084270</v>
      </c>
      <c r="S7" s="27"/>
      <c r="T7" s="27"/>
    </row>
    <row r="8" spans="1:20" s="27" customFormat="1" ht="15.75" thickBot="1">
      <c r="A8" s="45" t="s">
        <v>32</v>
      </c>
      <c r="B8" s="46">
        <v>23013656</v>
      </c>
      <c r="C8" s="46">
        <v>16025937</v>
      </c>
      <c r="D8" s="46">
        <v>123418719</v>
      </c>
      <c r="E8" s="46">
        <v>196563193</v>
      </c>
      <c r="F8" s="46">
        <v>49372907</v>
      </c>
      <c r="G8" s="46">
        <v>100663317</v>
      </c>
      <c r="H8" s="37"/>
      <c r="J8" s="45" t="s">
        <v>64</v>
      </c>
      <c r="K8" s="105">
        <v>439612898</v>
      </c>
      <c r="L8" s="105">
        <v>618771061</v>
      </c>
      <c r="M8" s="105">
        <v>0</v>
      </c>
      <c r="N8" s="105">
        <v>0</v>
      </c>
      <c r="O8" s="105">
        <v>1504556463</v>
      </c>
      <c r="P8" s="105">
        <v>1769012091</v>
      </c>
    </row>
    <row r="9" spans="1:20" s="27" customFormat="1" ht="15.75" thickBot="1">
      <c r="A9" s="45" t="s">
        <v>33</v>
      </c>
      <c r="B9" s="46">
        <v>21036068</v>
      </c>
      <c r="C9" s="46">
        <v>24265911</v>
      </c>
      <c r="D9" s="46">
        <v>39123528</v>
      </c>
      <c r="E9" s="46">
        <v>81214177</v>
      </c>
      <c r="F9" s="46">
        <v>72801761</v>
      </c>
      <c r="G9" s="46">
        <v>209155086</v>
      </c>
      <c r="H9" s="37"/>
      <c r="J9" s="106" t="s">
        <v>65</v>
      </c>
      <c r="K9" s="107">
        <f t="shared" ref="K9:P9" si="0">+K7-K8</f>
        <v>465266482</v>
      </c>
      <c r="L9" s="107">
        <f t="shared" si="0"/>
        <v>425205970</v>
      </c>
      <c r="M9" s="107">
        <f>+M7-M8</f>
        <v>1262392367</v>
      </c>
      <c r="N9" s="107">
        <f>+N7-N8</f>
        <v>1860941447</v>
      </c>
      <c r="O9" s="107">
        <f t="shared" si="0"/>
        <v>1364844587</v>
      </c>
      <c r="P9" s="107">
        <f t="shared" si="0"/>
        <v>1648072179</v>
      </c>
      <c r="Q9" s="225"/>
      <c r="R9" s="225"/>
    </row>
    <row r="10" spans="1:20" s="27" customFormat="1" ht="15.75" thickBot="1">
      <c r="A10" s="45" t="s">
        <v>34</v>
      </c>
      <c r="B10" s="46">
        <v>280586787</v>
      </c>
      <c r="C10" s="46">
        <v>388244289</v>
      </c>
      <c r="D10" s="46">
        <v>264648969</v>
      </c>
      <c r="E10" s="46">
        <v>368327627</v>
      </c>
      <c r="F10" s="46">
        <v>312764949</v>
      </c>
      <c r="G10" s="46">
        <v>312353000</v>
      </c>
      <c r="H10" s="37"/>
      <c r="J10" s="45" t="s">
        <v>66</v>
      </c>
      <c r="K10" s="105">
        <v>1563514</v>
      </c>
      <c r="L10" s="105">
        <v>4958700</v>
      </c>
      <c r="M10" s="105">
        <v>8381414</v>
      </c>
      <c r="N10" s="105">
        <v>8895908</v>
      </c>
      <c r="O10" s="108">
        <v>597205</v>
      </c>
      <c r="P10" s="108">
        <v>26627619</v>
      </c>
    </row>
    <row r="11" spans="1:20" s="27" customFormat="1" ht="15.75" thickBot="1">
      <c r="A11" s="45" t="s">
        <v>35</v>
      </c>
      <c r="B11" s="46">
        <v>3880103</v>
      </c>
      <c r="C11" s="46">
        <v>5693959</v>
      </c>
      <c r="D11" s="46">
        <v>14015294</v>
      </c>
      <c r="E11" s="46">
        <v>18698322</v>
      </c>
      <c r="F11" s="48">
        <v>239753949</v>
      </c>
      <c r="G11" s="48">
        <v>189833537</v>
      </c>
      <c r="H11" s="37"/>
      <c r="J11" s="45" t="s">
        <v>67</v>
      </c>
      <c r="K11" s="105">
        <v>418591551</v>
      </c>
      <c r="L11" s="105">
        <v>379747737</v>
      </c>
      <c r="M11" s="105">
        <v>1291765553</v>
      </c>
      <c r="N11" s="105">
        <v>1878936621</v>
      </c>
      <c r="O11" s="108">
        <v>1180030203</v>
      </c>
      <c r="P11" s="108">
        <v>1343458823</v>
      </c>
    </row>
    <row r="12" spans="1:20" s="27" customFormat="1" ht="13.5" customHeight="1" thickBot="1">
      <c r="A12" s="39" t="s">
        <v>36</v>
      </c>
      <c r="B12" s="49">
        <f t="shared" ref="B12:G12" si="1">SUM(B8:B11)</f>
        <v>328516614</v>
      </c>
      <c r="C12" s="49">
        <f t="shared" si="1"/>
        <v>434230096</v>
      </c>
      <c r="D12" s="49">
        <f t="shared" si="1"/>
        <v>441206510</v>
      </c>
      <c r="E12" s="49">
        <f t="shared" si="1"/>
        <v>664803319</v>
      </c>
      <c r="F12" s="49">
        <f t="shared" si="1"/>
        <v>674693566</v>
      </c>
      <c r="G12" s="76">
        <f t="shared" si="1"/>
        <v>812004940</v>
      </c>
      <c r="H12" s="37"/>
      <c r="J12" s="45" t="s">
        <v>68</v>
      </c>
      <c r="K12" s="105">
        <v>16020653</v>
      </c>
      <c r="L12" s="105">
        <v>18848871</v>
      </c>
      <c r="M12" s="105">
        <v>0</v>
      </c>
      <c r="N12" s="105">
        <v>0</v>
      </c>
      <c r="O12" s="108">
        <v>0</v>
      </c>
      <c r="P12" s="108">
        <v>0</v>
      </c>
    </row>
    <row r="13" spans="1:20" s="27" customFormat="1" ht="15.75" thickBot="1">
      <c r="A13" s="51" t="s">
        <v>37</v>
      </c>
      <c r="B13" s="46"/>
      <c r="C13" s="46"/>
      <c r="D13" s="46"/>
      <c r="E13" s="46"/>
      <c r="F13" s="46"/>
      <c r="G13" s="46"/>
      <c r="H13" s="37"/>
      <c r="J13" s="45" t="s">
        <v>69</v>
      </c>
      <c r="K13" s="206"/>
      <c r="L13" s="206"/>
      <c r="M13" s="206"/>
      <c r="N13" s="206"/>
      <c r="O13" s="108">
        <v>0</v>
      </c>
      <c r="P13" s="108">
        <v>0</v>
      </c>
    </row>
    <row r="14" spans="1:20" s="27" customFormat="1" ht="15.75" thickBot="1">
      <c r="A14" s="45" t="s">
        <v>38</v>
      </c>
      <c r="B14" s="46">
        <v>54526538</v>
      </c>
      <c r="C14" s="46">
        <v>45721698</v>
      </c>
      <c r="D14" s="46">
        <v>69419853</v>
      </c>
      <c r="E14" s="46">
        <v>53522787</v>
      </c>
      <c r="F14" s="48">
        <v>63501938</v>
      </c>
      <c r="G14" s="48">
        <v>171261779</v>
      </c>
      <c r="H14" s="37"/>
      <c r="J14" s="106" t="s">
        <v>70</v>
      </c>
      <c r="K14" s="107">
        <f>+K9+K10-K11-K12-K16</f>
        <v>32217792</v>
      </c>
      <c r="L14" s="107">
        <f>+L9+L10-L11-L12-L16</f>
        <v>31568062</v>
      </c>
      <c r="M14" s="107">
        <f>+M9+M10-M11-M12-M16</f>
        <v>-50317583</v>
      </c>
      <c r="N14" s="107">
        <v>-28371111</v>
      </c>
      <c r="O14" s="107">
        <f t="shared" ref="O14:P14" si="2">+O9+O10-O11-O12-O13</f>
        <v>185411589</v>
      </c>
      <c r="P14" s="107">
        <f t="shared" si="2"/>
        <v>331240975</v>
      </c>
      <c r="Q14" s="225"/>
      <c r="R14" s="225"/>
    </row>
    <row r="15" spans="1:20" s="27" customFormat="1" ht="15.75" thickBot="1">
      <c r="A15" s="45" t="s">
        <v>39</v>
      </c>
      <c r="B15" s="46">
        <v>1250000</v>
      </c>
      <c r="C15" s="46">
        <v>0</v>
      </c>
      <c r="D15" s="46"/>
      <c r="E15" s="46"/>
      <c r="F15" s="46"/>
      <c r="G15" s="46"/>
      <c r="H15" s="37"/>
      <c r="J15" s="58" t="s">
        <v>71</v>
      </c>
      <c r="K15" s="105"/>
      <c r="L15" s="105"/>
      <c r="M15" s="105"/>
      <c r="N15" s="105"/>
      <c r="O15" s="105">
        <v>152220</v>
      </c>
      <c r="P15" s="105">
        <v>4955622</v>
      </c>
    </row>
    <row r="16" spans="1:20" s="27" customFormat="1" ht="15.75" thickBot="1">
      <c r="A16" s="39" t="s">
        <v>40</v>
      </c>
      <c r="B16" s="49">
        <f t="shared" ref="B16:G16" si="3">+B14+B15</f>
        <v>55776538</v>
      </c>
      <c r="C16" s="49">
        <f t="shared" si="3"/>
        <v>45721698</v>
      </c>
      <c r="D16" s="49">
        <f t="shared" si="3"/>
        <v>69419853</v>
      </c>
      <c r="E16" s="49">
        <f t="shared" si="3"/>
        <v>53522787</v>
      </c>
      <c r="F16" s="49">
        <f t="shared" si="3"/>
        <v>63501938</v>
      </c>
      <c r="G16" s="76">
        <f t="shared" si="3"/>
        <v>171261779</v>
      </c>
      <c r="H16" s="37"/>
      <c r="J16" s="58" t="s">
        <v>72</v>
      </c>
      <c r="K16" s="105">
        <v>0</v>
      </c>
      <c r="L16" s="105">
        <v>0</v>
      </c>
      <c r="M16" s="105">
        <v>29325811</v>
      </c>
      <c r="N16" s="105">
        <v>19271845</v>
      </c>
      <c r="O16" s="105">
        <v>22743955</v>
      </c>
      <c r="P16" s="105">
        <v>22040201</v>
      </c>
    </row>
    <row r="17" spans="1:24" s="27" customFormat="1" ht="15.75" thickBot="1">
      <c r="A17" s="37"/>
      <c r="B17" s="52"/>
      <c r="C17" s="52"/>
      <c r="D17" s="52"/>
      <c r="E17" s="52"/>
      <c r="F17" s="52"/>
      <c r="G17" s="52"/>
      <c r="H17" s="37"/>
      <c r="J17" s="106" t="s">
        <v>73</v>
      </c>
      <c r="K17" s="107"/>
      <c r="L17" s="107"/>
      <c r="M17" s="107"/>
      <c r="N17" s="107"/>
      <c r="O17" s="107">
        <f>+O14+O15-O16</f>
        <v>162819854</v>
      </c>
      <c r="P17" s="107">
        <f>+P14+P15-P16</f>
        <v>314156396</v>
      </c>
      <c r="Q17" s="219"/>
      <c r="R17" s="219"/>
    </row>
    <row r="18" spans="1:24" s="27" customFormat="1" ht="15.75" thickBot="1">
      <c r="A18" s="61" t="s">
        <v>41</v>
      </c>
      <c r="B18" s="111">
        <f t="shared" ref="B18:G18" si="4">+B12+B16</f>
        <v>384293152</v>
      </c>
      <c r="C18" s="111">
        <f t="shared" si="4"/>
        <v>479951794</v>
      </c>
      <c r="D18" s="111">
        <f t="shared" si="4"/>
        <v>510626363</v>
      </c>
      <c r="E18" s="111">
        <f t="shared" si="4"/>
        <v>718326106</v>
      </c>
      <c r="F18" s="111">
        <f t="shared" si="4"/>
        <v>738195504</v>
      </c>
      <c r="G18" s="112">
        <f t="shared" si="4"/>
        <v>983266719</v>
      </c>
      <c r="H18" s="37"/>
      <c r="J18" s="45" t="s">
        <v>74</v>
      </c>
      <c r="K18" s="105">
        <v>14354000</v>
      </c>
      <c r="L18" s="105">
        <v>14578000</v>
      </c>
      <c r="M18" s="109">
        <v>2055000</v>
      </c>
      <c r="N18" s="109">
        <v>1390000</v>
      </c>
      <c r="O18" s="105">
        <v>59789000</v>
      </c>
      <c r="P18" s="105">
        <v>79732000</v>
      </c>
      <c r="Q18" s="216"/>
      <c r="R18" s="216"/>
    </row>
    <row r="19" spans="1:24" s="27" customFormat="1" ht="15.75" thickBot="1">
      <c r="A19" s="43"/>
      <c r="B19" s="70"/>
      <c r="C19" s="70"/>
      <c r="D19" s="70"/>
      <c r="E19" s="70"/>
      <c r="F19" s="70"/>
      <c r="G19" s="70"/>
      <c r="H19" s="37"/>
      <c r="J19" s="106" t="s">
        <v>75</v>
      </c>
      <c r="K19" s="110">
        <f>+K14-K18</f>
        <v>17863792</v>
      </c>
      <c r="L19" s="110">
        <f>+L14-L18</f>
        <v>16990062</v>
      </c>
      <c r="M19" s="110">
        <f>+M14-M18</f>
        <v>-52372583</v>
      </c>
      <c r="N19" s="110">
        <f>+N14-N18</f>
        <v>-29761111</v>
      </c>
      <c r="O19" s="110">
        <f>+O17-O18</f>
        <v>103030854</v>
      </c>
      <c r="P19" s="110">
        <f>+P17-P18</f>
        <v>234424396</v>
      </c>
    </row>
    <row r="20" spans="1:24" s="27" customFormat="1" ht="15.75" thickBot="1">
      <c r="A20" s="54" t="s">
        <v>42</v>
      </c>
      <c r="B20" s="73"/>
      <c r="C20" s="73"/>
      <c r="D20" s="73"/>
      <c r="E20" s="73"/>
      <c r="F20" s="73"/>
      <c r="G20" s="113"/>
      <c r="H20" s="37"/>
      <c r="J20" s="106" t="s">
        <v>76</v>
      </c>
      <c r="K20" s="107">
        <f>+K19</f>
        <v>17863792</v>
      </c>
      <c r="L20" s="107">
        <f>+L19</f>
        <v>16990062</v>
      </c>
      <c r="M20" s="107">
        <f t="shared" ref="M20:P20" si="5">+M19</f>
        <v>-52372583</v>
      </c>
      <c r="N20" s="107">
        <f t="shared" si="5"/>
        <v>-29761111</v>
      </c>
      <c r="O20" s="107">
        <f t="shared" si="5"/>
        <v>103030854</v>
      </c>
      <c r="P20" s="107">
        <f t="shared" si="5"/>
        <v>234424396</v>
      </c>
    </row>
    <row r="21" spans="1:24" s="27" customFormat="1" ht="15.75" thickBot="1">
      <c r="A21" s="42" t="s">
        <v>43</v>
      </c>
      <c r="B21" s="55"/>
      <c r="C21" s="55"/>
      <c r="D21" s="55"/>
      <c r="E21" s="57"/>
      <c r="F21" s="55"/>
      <c r="G21" s="114"/>
      <c r="H21" s="37"/>
      <c r="J21" s="45" t="s">
        <v>77</v>
      </c>
      <c r="K21" s="105">
        <v>202128943</v>
      </c>
      <c r="L21" s="105">
        <v>184265151</v>
      </c>
      <c r="M21" s="105">
        <v>167275090</v>
      </c>
      <c r="N21" s="105">
        <v>219647673</v>
      </c>
      <c r="O21" s="105">
        <f>+O19</f>
        <v>103030854</v>
      </c>
      <c r="P21" s="105">
        <f>+P19</f>
        <v>234424396</v>
      </c>
    </row>
    <row r="22" spans="1:24" s="27" customFormat="1" ht="15.75" thickBot="1">
      <c r="A22" s="45" t="s">
        <v>44</v>
      </c>
      <c r="B22" s="46">
        <v>0</v>
      </c>
      <c r="C22" s="46">
        <v>0</v>
      </c>
      <c r="D22" s="46">
        <v>0</v>
      </c>
      <c r="E22" s="46">
        <v>0</v>
      </c>
      <c r="F22" s="46"/>
      <c r="G22" s="46"/>
      <c r="H22" s="37"/>
      <c r="J22" s="45" t="s">
        <v>78</v>
      </c>
      <c r="K22" s="105">
        <v>0</v>
      </c>
      <c r="L22" s="105">
        <v>0</v>
      </c>
      <c r="M22" s="105">
        <v>0</v>
      </c>
      <c r="N22" s="105">
        <v>0</v>
      </c>
      <c r="O22" s="105">
        <v>0</v>
      </c>
      <c r="P22" s="105">
        <v>0</v>
      </c>
    </row>
    <row r="23" spans="1:24" s="27" customFormat="1" ht="15.75" thickBot="1">
      <c r="A23" s="45" t="s">
        <v>45</v>
      </c>
      <c r="B23" s="46">
        <v>136896961</v>
      </c>
      <c r="C23" s="46">
        <v>143226012</v>
      </c>
      <c r="D23" s="46">
        <v>146347389</v>
      </c>
      <c r="E23" s="46">
        <v>322074837</v>
      </c>
      <c r="F23" s="46">
        <v>248104135</v>
      </c>
      <c r="G23" s="46">
        <v>163796625</v>
      </c>
      <c r="H23" s="37"/>
      <c r="J23" s="106" t="s">
        <v>79</v>
      </c>
      <c r="K23" s="107">
        <f>+K20-K21-K22</f>
        <v>-184265151</v>
      </c>
      <c r="L23" s="107">
        <f>+L20-L21-L22</f>
        <v>-167275089</v>
      </c>
      <c r="M23" s="107">
        <f>+M20-M21-M22</f>
        <v>-219647673</v>
      </c>
      <c r="N23" s="115">
        <f>+N20-N21-N22</f>
        <v>-249408784</v>
      </c>
      <c r="O23" s="107">
        <f>+O21-O22</f>
        <v>103030854</v>
      </c>
      <c r="P23" s="107">
        <f>+P21-P22</f>
        <v>234424396</v>
      </c>
    </row>
    <row r="24" spans="1:24" s="27" customFormat="1" ht="15.75" thickBot="1">
      <c r="A24" s="45" t="s">
        <v>46</v>
      </c>
      <c r="B24" s="46">
        <v>14354000</v>
      </c>
      <c r="C24" s="46">
        <v>14578000</v>
      </c>
      <c r="D24" s="46">
        <v>77515099</v>
      </c>
      <c r="E24" s="46">
        <v>83230267</v>
      </c>
      <c r="F24" s="46">
        <v>135197778</v>
      </c>
      <c r="G24" s="46">
        <v>135224000</v>
      </c>
      <c r="H24" s="37"/>
      <c r="J24" s="206"/>
      <c r="K24" s="170">
        <v>2015</v>
      </c>
      <c r="L24" s="170">
        <v>2016</v>
      </c>
      <c r="M24" s="170">
        <v>2017</v>
      </c>
      <c r="N24" s="170">
        <v>2018</v>
      </c>
      <c r="O24" s="170">
        <v>2019</v>
      </c>
      <c r="P24" s="170">
        <v>2020</v>
      </c>
    </row>
    <row r="25" spans="1:24" s="27" customFormat="1" ht="15.75" thickBot="1">
      <c r="A25" s="58" t="s">
        <v>47</v>
      </c>
      <c r="B25" s="48">
        <v>20329310</v>
      </c>
      <c r="C25" s="48">
        <v>27031759</v>
      </c>
      <c r="D25" s="48">
        <v>49916491</v>
      </c>
      <c r="E25" s="48">
        <v>55812268</v>
      </c>
      <c r="F25" s="46">
        <v>82762293</v>
      </c>
      <c r="G25" s="46">
        <v>135153397</v>
      </c>
      <c r="H25" s="37"/>
      <c r="J25" s="106" t="s">
        <v>239</v>
      </c>
      <c r="K25" s="220">
        <f>+K14*(1-K26)</f>
        <v>17863792</v>
      </c>
      <c r="L25" s="220">
        <f t="shared" ref="L25:P25" si="6">+L14*(1-L26)</f>
        <v>16990062</v>
      </c>
      <c r="M25" s="220">
        <f t="shared" si="6"/>
        <v>-50317583</v>
      </c>
      <c r="N25" s="220">
        <f t="shared" si="6"/>
        <v>-28371111</v>
      </c>
      <c r="O25" s="220">
        <f t="shared" si="6"/>
        <v>125622589.00000001</v>
      </c>
      <c r="P25" s="220">
        <f t="shared" si="6"/>
        <v>251508975</v>
      </c>
    </row>
    <row r="26" spans="1:24" s="27" customFormat="1" ht="15.75" thickBot="1">
      <c r="A26" s="213" t="s">
        <v>48</v>
      </c>
      <c r="B26" s="214">
        <v>26264703</v>
      </c>
      <c r="C26" s="214">
        <v>7754692</v>
      </c>
      <c r="D26" s="214">
        <v>0</v>
      </c>
      <c r="E26" s="214">
        <v>0</v>
      </c>
      <c r="F26" s="214">
        <v>0</v>
      </c>
      <c r="G26" s="214">
        <v>0</v>
      </c>
      <c r="H26" s="37"/>
      <c r="J26" s="106" t="s">
        <v>202</v>
      </c>
      <c r="K26" s="211">
        <f>+K18/K14</f>
        <v>0.44553022131373871</v>
      </c>
      <c r="L26" s="211">
        <f t="shared" ref="L26:P26" si="7">+L18/L14</f>
        <v>0.46179584923521755</v>
      </c>
      <c r="M26" s="211"/>
      <c r="N26" s="211"/>
      <c r="O26" s="211">
        <f t="shared" si="7"/>
        <v>0.32246635888547398</v>
      </c>
      <c r="P26" s="211">
        <f t="shared" si="7"/>
        <v>0.2407069354870725</v>
      </c>
      <c r="U26" s="62"/>
      <c r="V26" s="62"/>
    </row>
    <row r="27" spans="1:24" s="27" customFormat="1" ht="16.5" customHeight="1" thickBot="1">
      <c r="A27" s="45" t="s">
        <v>49</v>
      </c>
      <c r="B27" s="46">
        <v>27013328</v>
      </c>
      <c r="C27" s="46">
        <v>29050737</v>
      </c>
      <c r="D27" s="46">
        <v>67795057</v>
      </c>
      <c r="E27" s="46">
        <v>116701328</v>
      </c>
      <c r="F27" s="46">
        <v>41535493</v>
      </c>
      <c r="G27" s="46">
        <v>84072716</v>
      </c>
      <c r="H27" s="37"/>
      <c r="J27" s="106" t="s">
        <v>204</v>
      </c>
      <c r="K27" s="211">
        <f>+K16/B26</f>
        <v>0</v>
      </c>
      <c r="L27" s="211">
        <f t="shared" ref="L27" si="8">+L16/C26</f>
        <v>0</v>
      </c>
      <c r="M27" s="211">
        <v>0</v>
      </c>
      <c r="N27" s="211">
        <v>0</v>
      </c>
      <c r="O27" s="211">
        <v>0</v>
      </c>
      <c r="P27" s="211">
        <v>0</v>
      </c>
      <c r="Q27" s="62"/>
      <c r="R27" s="62"/>
      <c r="S27" s="62"/>
      <c r="T27" s="62"/>
      <c r="U27" s="29"/>
      <c r="V27" s="29"/>
      <c r="W27" s="29"/>
      <c r="X27" s="29"/>
    </row>
    <row r="28" spans="1:24" s="29" customFormat="1" ht="15.75" thickBot="1">
      <c r="A28" s="59" t="s">
        <v>50</v>
      </c>
      <c r="B28" s="76">
        <f t="shared" ref="B28:G28" si="9">SUM(B23:B27)</f>
        <v>224858302</v>
      </c>
      <c r="C28" s="76">
        <f t="shared" si="9"/>
        <v>221641200</v>
      </c>
      <c r="D28" s="76">
        <f t="shared" si="9"/>
        <v>341574036</v>
      </c>
      <c r="E28" s="76">
        <f t="shared" si="9"/>
        <v>577818700</v>
      </c>
      <c r="F28" s="76">
        <f t="shared" si="9"/>
        <v>507599699</v>
      </c>
      <c r="G28" s="76">
        <f t="shared" si="9"/>
        <v>518246738</v>
      </c>
      <c r="H28" s="60"/>
      <c r="J28" s="106" t="s">
        <v>209</v>
      </c>
      <c r="K28" s="220">
        <f>+B26</f>
        <v>26264703</v>
      </c>
      <c r="L28" s="220">
        <f t="shared" ref="L28:P28" si="10">+C26</f>
        <v>7754692</v>
      </c>
      <c r="M28" s="220">
        <f t="shared" si="10"/>
        <v>0</v>
      </c>
      <c r="N28" s="220">
        <f t="shared" si="10"/>
        <v>0</v>
      </c>
      <c r="O28" s="220">
        <f t="shared" si="10"/>
        <v>0</v>
      </c>
      <c r="P28" s="220">
        <f t="shared" si="10"/>
        <v>0</v>
      </c>
      <c r="U28" s="27"/>
      <c r="V28" s="27"/>
      <c r="W28" s="27"/>
      <c r="X28" s="27"/>
    </row>
    <row r="29" spans="1:24" s="27" customFormat="1" ht="15.75" thickBot="1">
      <c r="A29" s="45" t="s">
        <v>237</v>
      </c>
      <c r="B29" s="46">
        <v>143700000</v>
      </c>
      <c r="C29" s="46">
        <v>85585684</v>
      </c>
      <c r="D29" s="46">
        <v>48700000</v>
      </c>
      <c r="E29" s="46">
        <v>48329178</v>
      </c>
      <c r="F29" s="46">
        <v>36336498</v>
      </c>
      <c r="G29" s="46">
        <v>36336498</v>
      </c>
      <c r="H29" s="37"/>
      <c r="J29" s="106" t="s">
        <v>54</v>
      </c>
      <c r="K29" s="220">
        <f>+B40</f>
        <v>15734849</v>
      </c>
      <c r="L29" s="220">
        <f t="shared" ref="L29:P29" si="11">+C40</f>
        <v>172724910</v>
      </c>
      <c r="M29" s="220">
        <f t="shared" si="11"/>
        <v>120352327</v>
      </c>
      <c r="N29" s="220">
        <f t="shared" si="11"/>
        <v>92178229</v>
      </c>
      <c r="O29" s="220">
        <f t="shared" si="11"/>
        <v>194259083</v>
      </c>
      <c r="P29" s="220">
        <f t="shared" si="11"/>
        <v>428683483</v>
      </c>
    </row>
    <row r="30" spans="1:24" s="27" customFormat="1" ht="15.75" thickBot="1">
      <c r="A30" s="59" t="s">
        <v>52</v>
      </c>
      <c r="B30" s="76">
        <v>143700000</v>
      </c>
      <c r="C30" s="76">
        <v>85585684</v>
      </c>
      <c r="D30" s="76">
        <f>+D29</f>
        <v>48700000</v>
      </c>
      <c r="E30" s="76">
        <f>+E29</f>
        <v>48329178</v>
      </c>
      <c r="F30" s="76">
        <f>+F29</f>
        <v>36336498</v>
      </c>
      <c r="G30" s="76">
        <f>+G29</f>
        <v>36336498</v>
      </c>
      <c r="H30" s="37"/>
      <c r="J30" s="106" t="s">
        <v>210</v>
      </c>
      <c r="K30" s="220">
        <f>+K28+K29</f>
        <v>41999552</v>
      </c>
      <c r="L30" s="220">
        <f t="shared" ref="L30:P30" si="12">+L28+L29</f>
        <v>180479602</v>
      </c>
      <c r="M30" s="220">
        <f t="shared" si="12"/>
        <v>120352327</v>
      </c>
      <c r="N30" s="220">
        <f t="shared" si="12"/>
        <v>92178229</v>
      </c>
      <c r="O30" s="220">
        <f t="shared" si="12"/>
        <v>194259083</v>
      </c>
      <c r="P30" s="220">
        <f t="shared" si="12"/>
        <v>428683483</v>
      </c>
    </row>
    <row r="31" spans="1:24" s="27" customFormat="1" ht="15.75" thickBot="1">
      <c r="A31" s="51"/>
      <c r="B31" s="46"/>
      <c r="C31" s="46"/>
      <c r="D31" s="46"/>
      <c r="E31" s="46"/>
      <c r="F31" s="46"/>
      <c r="G31" s="46"/>
      <c r="H31" s="37"/>
      <c r="J31" s="106" t="s">
        <v>211</v>
      </c>
      <c r="K31" s="211">
        <f>+K28/K30</f>
        <v>0.62535674190048507</v>
      </c>
      <c r="L31" s="211">
        <f t="shared" ref="L31:P31" si="13">+L28/L30</f>
        <v>4.2967138192159797E-2</v>
      </c>
      <c r="M31" s="211">
        <f t="shared" si="13"/>
        <v>0</v>
      </c>
      <c r="N31" s="211">
        <f t="shared" si="13"/>
        <v>0</v>
      </c>
      <c r="O31" s="211">
        <f t="shared" si="13"/>
        <v>0</v>
      </c>
      <c r="P31" s="211">
        <f t="shared" si="13"/>
        <v>0</v>
      </c>
    </row>
    <row r="32" spans="1:24" s="27" customFormat="1" ht="15.75" thickBot="1">
      <c r="A32" s="61" t="s">
        <v>53</v>
      </c>
      <c r="B32" s="80">
        <v>368558302</v>
      </c>
      <c r="C32" s="80">
        <v>307226884</v>
      </c>
      <c r="D32" s="80">
        <f>+D28+D30</f>
        <v>390274036</v>
      </c>
      <c r="E32" s="80">
        <f>+E28+E30</f>
        <v>626147878</v>
      </c>
      <c r="F32" s="80">
        <f>+F28+F30</f>
        <v>543936197</v>
      </c>
      <c r="G32" s="80">
        <f>+G28+G30</f>
        <v>554583236</v>
      </c>
      <c r="H32" s="37"/>
      <c r="J32" s="106" t="s">
        <v>212</v>
      </c>
      <c r="K32" s="211">
        <f>+K29/K30</f>
        <v>0.37464325809951499</v>
      </c>
      <c r="L32" s="211">
        <f t="shared" ref="L32:P32" si="14">+L29/L30</f>
        <v>0.9570328618078402</v>
      </c>
      <c r="M32" s="211">
        <f t="shared" si="14"/>
        <v>1</v>
      </c>
      <c r="N32" s="211">
        <f t="shared" si="14"/>
        <v>1</v>
      </c>
      <c r="O32" s="211">
        <f t="shared" si="14"/>
        <v>1</v>
      </c>
      <c r="P32" s="211">
        <f t="shared" si="14"/>
        <v>1</v>
      </c>
    </row>
    <row r="33" spans="1:24" s="27" customFormat="1" ht="15.75" thickBot="1">
      <c r="A33" s="43"/>
      <c r="B33" s="70"/>
      <c r="C33" s="70"/>
      <c r="D33" s="70"/>
      <c r="E33" s="70"/>
      <c r="F33" s="70"/>
      <c r="G33" s="70"/>
      <c r="H33" s="37"/>
      <c r="J33" s="106" t="s">
        <v>265</v>
      </c>
      <c r="K33" s="220"/>
      <c r="L33" s="220"/>
      <c r="M33" s="220"/>
      <c r="N33" s="220"/>
      <c r="O33" s="220"/>
      <c r="P33" s="220">
        <f>+G9</f>
        <v>209155086</v>
      </c>
    </row>
    <row r="34" spans="1:24" s="27" customFormat="1" ht="15.75" thickBot="1">
      <c r="A34" s="54" t="s">
        <v>54</v>
      </c>
      <c r="B34" s="73"/>
      <c r="C34" s="73"/>
      <c r="D34" s="73"/>
      <c r="E34" s="73"/>
      <c r="F34" s="73"/>
      <c r="G34" s="113"/>
      <c r="H34" s="37"/>
      <c r="J34" s="106" t="s">
        <v>266</v>
      </c>
      <c r="K34" s="220"/>
      <c r="L34" s="220"/>
      <c r="M34" s="220"/>
      <c r="N34" s="220"/>
      <c r="O34" s="220"/>
      <c r="P34" s="220">
        <v>0</v>
      </c>
    </row>
    <row r="35" spans="1:24" s="27" customFormat="1" ht="16.5" customHeight="1" thickBot="1">
      <c r="A35" s="45" t="s">
        <v>55</v>
      </c>
      <c r="B35" s="46">
        <v>200000000</v>
      </c>
      <c r="C35" s="46">
        <v>340000000</v>
      </c>
      <c r="D35" s="46">
        <v>340000000</v>
      </c>
      <c r="E35" s="46">
        <v>340000000</v>
      </c>
      <c r="F35" s="48">
        <v>340000000</v>
      </c>
      <c r="G35" s="48">
        <v>340000000</v>
      </c>
      <c r="H35" s="37"/>
      <c r="J35" s="106" t="s">
        <v>267</v>
      </c>
      <c r="K35" s="220"/>
      <c r="L35" s="220"/>
      <c r="M35" s="220"/>
      <c r="N35" s="220"/>
      <c r="O35" s="220"/>
      <c r="P35" s="220">
        <f>+G14</f>
        <v>171261779</v>
      </c>
    </row>
    <row r="36" spans="1:24" s="27" customFormat="1" ht="15.75" thickBot="1">
      <c r="A36" s="45" t="s">
        <v>56</v>
      </c>
      <c r="B36" s="46"/>
      <c r="C36" s="46"/>
      <c r="D36" s="46"/>
      <c r="E36" s="46"/>
      <c r="F36" s="48"/>
      <c r="G36" s="48">
        <v>10303086</v>
      </c>
      <c r="H36" s="37"/>
      <c r="J36" s="106" t="s">
        <v>268</v>
      </c>
      <c r="K36" s="220"/>
      <c r="L36" s="220"/>
      <c r="M36" s="220"/>
      <c r="N36" s="220"/>
      <c r="O36" s="220"/>
      <c r="P36" s="220">
        <f>+P33+P34+P35</f>
        <v>380416865</v>
      </c>
    </row>
    <row r="37" spans="1:24" s="27" customFormat="1" ht="16.5" customHeight="1" thickBot="1">
      <c r="A37" s="45" t="s">
        <v>57</v>
      </c>
      <c r="B37" s="46">
        <v>-184265151</v>
      </c>
      <c r="C37" s="46">
        <v>-167275090</v>
      </c>
      <c r="D37" s="46">
        <v>219647673</v>
      </c>
      <c r="E37" s="46">
        <v>247821771</v>
      </c>
      <c r="F37" s="48">
        <v>248771771</v>
      </c>
      <c r="G37" s="48">
        <v>156044000</v>
      </c>
      <c r="H37" s="37"/>
      <c r="J37" s="106" t="s">
        <v>506</v>
      </c>
      <c r="K37" s="439">
        <f>+CAPM!Q77+(CAPM!Q78*(CAPM!Q79-CAPM!Q77)+CAPM!Q80)</f>
        <v>0.13564000000000001</v>
      </c>
      <c r="L37" s="440"/>
      <c r="M37" s="440"/>
      <c r="N37" s="440"/>
      <c r="O37" s="440"/>
      <c r="P37" s="441"/>
    </row>
    <row r="38" spans="1:24" s="27" customFormat="1" ht="15.75" thickBot="1">
      <c r="A38" s="45" t="s">
        <v>58</v>
      </c>
      <c r="B38" s="46"/>
      <c r="C38" s="46"/>
      <c r="D38" s="46"/>
      <c r="E38" s="46"/>
      <c r="F38" s="48">
        <v>103030854</v>
      </c>
      <c r="G38" s="48">
        <v>234424397</v>
      </c>
      <c r="H38" s="37"/>
    </row>
    <row r="39" spans="1:24" s="27" customFormat="1" ht="15.75" thickBot="1">
      <c r="A39" s="45" t="s">
        <v>59</v>
      </c>
      <c r="B39" s="46">
        <v>0</v>
      </c>
      <c r="C39" s="46">
        <v>0</v>
      </c>
      <c r="D39" s="46">
        <v>0</v>
      </c>
      <c r="E39" s="46"/>
      <c r="F39" s="46"/>
      <c r="G39" s="46"/>
      <c r="H39" s="37"/>
    </row>
    <row r="40" spans="1:24" s="27" customFormat="1" ht="15.75" thickBot="1">
      <c r="A40" s="59" t="s">
        <v>60</v>
      </c>
      <c r="B40" s="76">
        <f>+B35+B37+B38+B39</f>
        <v>15734849</v>
      </c>
      <c r="C40" s="76">
        <f>+C35+C37+C38+C39</f>
        <v>172724910</v>
      </c>
      <c r="D40" s="76">
        <f>+D35-D37+D39</f>
        <v>120352327</v>
      </c>
      <c r="E40" s="76">
        <f>+E35-E37+E39</f>
        <v>92178229</v>
      </c>
      <c r="F40" s="76">
        <f>+F35-F37+F38+F39</f>
        <v>194259083</v>
      </c>
      <c r="G40" s="76">
        <f>+G35-G37+G38+G39+G36</f>
        <v>428683483</v>
      </c>
      <c r="H40" s="37"/>
    </row>
    <row r="41" spans="1:24" s="27" customFormat="1" ht="15.75" thickBot="1">
      <c r="A41" s="37"/>
      <c r="B41" s="52"/>
      <c r="C41" s="52"/>
      <c r="D41" s="52"/>
      <c r="E41" s="52"/>
      <c r="F41" s="52"/>
      <c r="G41" s="52"/>
      <c r="H41" s="37"/>
      <c r="U41" s="29"/>
      <c r="V41" s="29"/>
      <c r="W41" s="29"/>
      <c r="X41" s="29"/>
    </row>
    <row r="42" spans="1:24" s="29" customFormat="1" ht="16.5" customHeight="1" thickBot="1">
      <c r="A42" s="61" t="s">
        <v>61</v>
      </c>
      <c r="B42" s="80">
        <v>384293151</v>
      </c>
      <c r="C42" s="80">
        <v>479951794</v>
      </c>
      <c r="D42" s="80">
        <f>+D32+D40</f>
        <v>510626363</v>
      </c>
      <c r="E42" s="80">
        <f>+E32+E40</f>
        <v>718326107</v>
      </c>
      <c r="F42" s="80">
        <f>+F32+F40</f>
        <v>738195280</v>
      </c>
      <c r="G42" s="80">
        <f>+G32+G40</f>
        <v>983266719</v>
      </c>
      <c r="H42" s="60"/>
      <c r="U42" s="27"/>
      <c r="V42" s="27"/>
      <c r="W42" s="27"/>
      <c r="X42" s="27"/>
    </row>
    <row r="43" spans="1:24" s="27" customFormat="1">
      <c r="A43" s="37"/>
      <c r="B43" s="63"/>
      <c r="C43" s="63"/>
      <c r="D43" s="37"/>
      <c r="E43" s="37"/>
      <c r="F43" s="37"/>
      <c r="G43" s="37"/>
      <c r="H43" s="37"/>
    </row>
    <row r="44" spans="1:24" s="27" customFormat="1">
      <c r="A44" s="37"/>
      <c r="B44" s="37"/>
      <c r="C44" s="37"/>
      <c r="D44" s="37"/>
      <c r="E44" s="37"/>
      <c r="F44" s="37"/>
      <c r="G44" s="37"/>
      <c r="H44" s="37"/>
    </row>
    <row r="45" spans="1:24" s="27" customFormat="1" ht="15.75" thickBot="1"/>
    <row r="46" spans="1:24" s="27" customFormat="1" ht="16.5" customHeight="1" thickBot="1">
      <c r="A46" s="424" t="s">
        <v>197</v>
      </c>
      <c r="B46" s="425"/>
      <c r="C46" s="425"/>
      <c r="D46" s="425"/>
      <c r="E46" s="425"/>
      <c r="F46" s="425"/>
      <c r="G46" s="426"/>
    </row>
    <row r="47" spans="1:24" s="27" customFormat="1" ht="15.75" thickBot="1">
      <c r="A47" s="45" t="s">
        <v>196</v>
      </c>
      <c r="B47" s="170">
        <v>2015</v>
      </c>
      <c r="C47" s="170">
        <v>2016</v>
      </c>
      <c r="D47" s="170">
        <v>2017</v>
      </c>
      <c r="E47" s="170">
        <v>2018</v>
      </c>
      <c r="F47" s="170">
        <v>2019</v>
      </c>
      <c r="G47" s="170">
        <v>2020</v>
      </c>
    </row>
    <row r="48" spans="1:24" s="27" customFormat="1" ht="16.5" thickBot="1">
      <c r="A48" s="205" t="s">
        <v>188</v>
      </c>
      <c r="B48" s="206"/>
      <c r="C48" s="206"/>
      <c r="D48" s="46"/>
      <c r="E48" s="46">
        <f>+D55</f>
        <v>69419853</v>
      </c>
      <c r="F48" s="46">
        <f>+E55</f>
        <v>53522787</v>
      </c>
      <c r="G48" s="46">
        <f>+F55</f>
        <v>63501938</v>
      </c>
      <c r="U48" s="203"/>
      <c r="V48" s="203"/>
      <c r="W48" s="203"/>
      <c r="X48" s="203"/>
    </row>
    <row r="49" spans="1:28" s="27" customFormat="1" ht="16.5" thickBot="1">
      <c r="A49" s="205" t="s">
        <v>189</v>
      </c>
      <c r="B49" s="206"/>
      <c r="C49" s="206"/>
      <c r="D49" s="46"/>
      <c r="E49" s="46"/>
      <c r="F49" s="46"/>
      <c r="G49" s="46"/>
      <c r="I49" s="203"/>
      <c r="J49" s="203"/>
      <c r="K49" s="215"/>
      <c r="L49" s="203"/>
      <c r="M49" s="203"/>
      <c r="N49" s="203"/>
      <c r="O49" s="203"/>
      <c r="P49" s="203"/>
      <c r="Q49" s="203"/>
      <c r="R49" s="203"/>
      <c r="S49" s="203"/>
      <c r="T49" s="203"/>
      <c r="U49" s="203"/>
      <c r="V49" s="203"/>
      <c r="W49" s="203"/>
      <c r="X49" s="203"/>
      <c r="Y49" s="203"/>
      <c r="Z49" s="203"/>
      <c r="AA49" s="203"/>
      <c r="AB49" s="203"/>
    </row>
    <row r="50" spans="1:28" s="27" customFormat="1" ht="16.5" thickBot="1">
      <c r="A50" s="205" t="s">
        <v>190</v>
      </c>
      <c r="B50" s="206"/>
      <c r="C50" s="206"/>
      <c r="D50" s="46">
        <v>65501136</v>
      </c>
      <c r="E50" s="46">
        <v>67793341</v>
      </c>
      <c r="F50" s="46">
        <v>59575272</v>
      </c>
      <c r="G50" s="46">
        <v>112262184</v>
      </c>
      <c r="I50" s="203"/>
      <c r="J50" s="203"/>
      <c r="K50" s="203"/>
      <c r="L50" s="203"/>
      <c r="M50" s="203"/>
      <c r="N50" s="203"/>
      <c r="O50" s="203"/>
      <c r="P50" s="203"/>
      <c r="Q50" s="203"/>
      <c r="R50" s="203"/>
      <c r="S50" s="203"/>
      <c r="T50" s="203"/>
      <c r="U50" s="203"/>
      <c r="V50" s="203"/>
      <c r="W50" s="203"/>
      <c r="X50" s="203"/>
      <c r="Y50" s="203"/>
      <c r="Z50" s="203"/>
      <c r="AA50" s="203"/>
      <c r="AB50" s="203"/>
    </row>
    <row r="51" spans="1:28" s="27" customFormat="1" ht="16.5" thickBot="1">
      <c r="A51" s="205" t="s">
        <v>191</v>
      </c>
      <c r="B51" s="206"/>
      <c r="C51" s="206"/>
      <c r="D51" s="46">
        <v>71876631</v>
      </c>
      <c r="E51" s="46">
        <v>85739188</v>
      </c>
      <c r="F51" s="46">
        <v>116650296</v>
      </c>
      <c r="G51" s="46">
        <v>157619746</v>
      </c>
      <c r="I51" s="203"/>
      <c r="J51" s="203"/>
      <c r="K51" s="203"/>
      <c r="L51" s="203"/>
      <c r="M51" s="203"/>
      <c r="N51" s="203"/>
      <c r="O51" s="203"/>
      <c r="P51" s="203"/>
      <c r="Q51" s="203"/>
      <c r="R51" s="203"/>
      <c r="S51" s="203"/>
      <c r="T51" s="203"/>
      <c r="U51" s="203"/>
      <c r="V51" s="203"/>
      <c r="W51" s="203"/>
      <c r="X51" s="203"/>
      <c r="Y51" s="203"/>
      <c r="Z51" s="203"/>
      <c r="AA51" s="203"/>
      <c r="AB51" s="203"/>
    </row>
    <row r="52" spans="1:28" s="27" customFormat="1" ht="17.25" thickBot="1">
      <c r="A52" s="205" t="s">
        <v>192</v>
      </c>
      <c r="B52" s="207"/>
      <c r="C52" s="207"/>
      <c r="D52" s="207"/>
      <c r="E52" s="207"/>
      <c r="F52" s="208"/>
      <c r="G52" s="208"/>
      <c r="I52" s="203"/>
      <c r="J52" s="203"/>
      <c r="K52" s="203"/>
      <c r="L52" s="203"/>
      <c r="M52" s="203"/>
      <c r="N52" s="203"/>
      <c r="O52" s="203"/>
      <c r="P52" s="203"/>
      <c r="Q52" s="203"/>
      <c r="R52" s="203"/>
      <c r="S52" s="203"/>
      <c r="T52" s="203"/>
      <c r="U52" s="203"/>
      <c r="V52" s="203"/>
      <c r="W52" s="203"/>
      <c r="X52" s="203"/>
      <c r="Y52" s="203"/>
      <c r="Z52" s="203"/>
      <c r="AA52" s="203"/>
      <c r="AB52" s="203"/>
    </row>
    <row r="53" spans="1:28" s="27" customFormat="1" ht="17.25" thickBot="1">
      <c r="A53" s="205" t="s">
        <v>193</v>
      </c>
      <c r="B53" s="207"/>
      <c r="C53" s="207"/>
      <c r="D53" s="207"/>
      <c r="E53" s="207"/>
      <c r="F53" s="208"/>
      <c r="G53" s="208"/>
      <c r="I53" s="203"/>
      <c r="J53" s="203"/>
      <c r="K53" s="203"/>
      <c r="L53" s="203"/>
      <c r="M53" s="203"/>
      <c r="N53" s="203"/>
      <c r="O53" s="203"/>
      <c r="P53" s="203"/>
      <c r="Q53" s="203"/>
      <c r="R53" s="203"/>
      <c r="S53" s="203"/>
      <c r="T53" s="203"/>
      <c r="U53" s="204"/>
      <c r="V53" s="204"/>
      <c r="W53" s="204"/>
      <c r="X53" s="204"/>
      <c r="Y53" s="203"/>
      <c r="Z53" s="203"/>
      <c r="AA53" s="203"/>
      <c r="AB53" s="203"/>
    </row>
    <row r="54" spans="1:28" s="27" customFormat="1" ht="17.25" thickBot="1">
      <c r="A54" s="205" t="s">
        <v>194</v>
      </c>
      <c r="B54" s="206"/>
      <c r="C54" s="206"/>
      <c r="D54" s="46">
        <v>67957914</v>
      </c>
      <c r="E54" s="46">
        <v>100009742</v>
      </c>
      <c r="F54" s="46">
        <v>112723630</v>
      </c>
      <c r="G54" s="46">
        <v>98620151</v>
      </c>
      <c r="H54" s="204"/>
      <c r="I54" s="204"/>
      <c r="J54" s="204"/>
      <c r="K54" s="204"/>
      <c r="L54" s="204"/>
      <c r="M54" s="204"/>
      <c r="N54" s="204"/>
      <c r="O54" s="204"/>
      <c r="P54" s="204"/>
      <c r="Q54" s="204"/>
      <c r="R54" s="204"/>
      <c r="S54" s="204"/>
      <c r="T54" s="204"/>
      <c r="U54" s="203"/>
      <c r="V54" s="203"/>
      <c r="W54" s="203"/>
      <c r="X54" s="203"/>
      <c r="Y54" s="204"/>
      <c r="Z54" s="204"/>
      <c r="AA54" s="204"/>
      <c r="AB54" s="204"/>
    </row>
    <row r="55" spans="1:28" s="27" customFormat="1" ht="16.5" thickBot="1">
      <c r="A55" s="205" t="s">
        <v>195</v>
      </c>
      <c r="B55" s="206"/>
      <c r="C55" s="206"/>
      <c r="D55" s="46">
        <f>+D50+D51-D54</f>
        <v>69419853</v>
      </c>
      <c r="E55" s="46">
        <f>+E50+E51-E54</f>
        <v>53522787</v>
      </c>
      <c r="F55" s="46">
        <f>+F50+F51-F54</f>
        <v>63501938</v>
      </c>
      <c r="G55" s="46">
        <f>+G50+G51-G54</f>
        <v>171261779</v>
      </c>
      <c r="H55" s="203"/>
      <c r="I55" s="203"/>
      <c r="J55" s="203"/>
      <c r="K55" s="203"/>
      <c r="L55" s="203"/>
      <c r="M55" s="203"/>
      <c r="N55" s="203"/>
      <c r="O55" s="203"/>
      <c r="P55" s="203"/>
      <c r="Q55" s="203"/>
      <c r="R55" s="203"/>
      <c r="S55" s="203"/>
      <c r="T55" s="203"/>
      <c r="Y55" s="203"/>
      <c r="Z55" s="203"/>
      <c r="AA55" s="203"/>
      <c r="AB55" s="203"/>
    </row>
    <row r="56" spans="1:28" s="27" customFormat="1">
      <c r="I56" s="37"/>
      <c r="J56" s="37"/>
      <c r="K56" s="37"/>
      <c r="L56" s="37"/>
      <c r="M56" s="37"/>
      <c r="N56" s="37"/>
      <c r="O56" s="37"/>
      <c r="P56" s="37"/>
    </row>
    <row r="57" spans="1:28" s="27" customFormat="1">
      <c r="I57" s="37"/>
      <c r="J57" s="37"/>
      <c r="K57" s="37"/>
      <c r="L57" s="37"/>
      <c r="M57" s="37"/>
      <c r="N57" s="37"/>
      <c r="O57" s="37"/>
      <c r="P57" s="37"/>
    </row>
    <row r="58" spans="1:28" s="27" customFormat="1">
      <c r="I58" s="37"/>
      <c r="J58" s="37"/>
      <c r="K58" s="37"/>
      <c r="L58" s="37"/>
      <c r="M58" s="37"/>
      <c r="N58" s="37"/>
      <c r="O58" s="37"/>
      <c r="P58" s="37"/>
    </row>
    <row r="59" spans="1:28" s="27" customFormat="1">
      <c r="I59" s="37"/>
      <c r="J59" s="37"/>
      <c r="K59" s="37"/>
      <c r="L59" s="37"/>
      <c r="M59" s="37"/>
      <c r="N59" s="37"/>
      <c r="O59" s="37"/>
      <c r="P59" s="37"/>
    </row>
    <row r="60" spans="1:28" s="27" customFormat="1">
      <c r="I60" s="37"/>
      <c r="J60" s="37"/>
      <c r="K60" s="37"/>
      <c r="L60" s="37"/>
      <c r="M60" s="37"/>
      <c r="N60" s="37"/>
      <c r="O60" s="37"/>
      <c r="P60" s="37"/>
    </row>
    <row r="61" spans="1:28" s="27" customFormat="1">
      <c r="I61" s="37"/>
      <c r="J61" s="37"/>
      <c r="K61" s="37"/>
      <c r="L61" s="37"/>
      <c r="M61" s="37"/>
      <c r="N61" s="37"/>
      <c r="O61" s="37"/>
      <c r="P61" s="37"/>
    </row>
    <row r="62" spans="1:28" s="27" customFormat="1">
      <c r="I62" s="37"/>
      <c r="J62" s="37"/>
      <c r="K62" s="37"/>
      <c r="L62" s="37"/>
      <c r="M62" s="37"/>
      <c r="N62" s="37"/>
      <c r="O62" s="37"/>
      <c r="P62" s="37"/>
    </row>
    <row r="63" spans="1:28" s="27" customFormat="1">
      <c r="I63" s="37"/>
      <c r="J63" s="37"/>
      <c r="K63" s="37"/>
      <c r="L63" s="37"/>
      <c r="M63" s="37"/>
      <c r="N63" s="37"/>
      <c r="O63" s="37"/>
      <c r="P63" s="37"/>
    </row>
    <row r="64" spans="1:28" s="27" customFormat="1">
      <c r="I64" s="37"/>
      <c r="J64" s="37"/>
      <c r="K64" s="37"/>
      <c r="L64" s="37"/>
      <c r="M64" s="37"/>
      <c r="N64" s="37"/>
      <c r="O64" s="37"/>
      <c r="P64" s="37"/>
    </row>
    <row r="65" spans="1:16" s="27" customFormat="1">
      <c r="I65" s="37"/>
      <c r="J65" s="37"/>
      <c r="K65" s="37"/>
      <c r="L65" s="37"/>
      <c r="M65" s="37"/>
      <c r="N65" s="37"/>
      <c r="O65" s="37"/>
      <c r="P65" s="37"/>
    </row>
    <row r="66" spans="1:16" s="27" customFormat="1">
      <c r="I66" s="37"/>
      <c r="J66" s="37"/>
      <c r="K66" s="37"/>
      <c r="L66" s="37"/>
      <c r="M66" s="37"/>
      <c r="N66" s="37"/>
      <c r="O66" s="37"/>
      <c r="P66" s="37"/>
    </row>
    <row r="67" spans="1:16" s="27" customFormat="1">
      <c r="I67" s="37"/>
      <c r="J67" s="37"/>
      <c r="K67" s="37"/>
      <c r="L67" s="37"/>
      <c r="M67" s="37"/>
      <c r="N67" s="37"/>
      <c r="O67" s="37"/>
      <c r="P67" s="37"/>
    </row>
    <row r="68" spans="1:16" s="27" customFormat="1">
      <c r="I68" s="37"/>
      <c r="J68" s="37"/>
      <c r="K68" s="37"/>
      <c r="L68" s="37"/>
      <c r="M68" s="37"/>
      <c r="N68" s="37"/>
      <c r="O68" s="37"/>
      <c r="P68" s="37"/>
    </row>
    <row r="69" spans="1:16" s="27" customFormat="1">
      <c r="I69" s="37"/>
      <c r="J69" s="37"/>
      <c r="K69" s="37"/>
      <c r="L69" s="37"/>
      <c r="M69" s="37"/>
      <c r="N69" s="37"/>
      <c r="O69" s="37"/>
      <c r="P69" s="37"/>
    </row>
    <row r="70" spans="1:16" s="27" customFormat="1">
      <c r="I70" s="37"/>
      <c r="J70" s="37"/>
      <c r="K70" s="37"/>
      <c r="L70" s="37"/>
      <c r="M70" s="37"/>
      <c r="N70" s="37"/>
      <c r="O70" s="37"/>
      <c r="P70" s="37"/>
    </row>
    <row r="71" spans="1:16" s="27" customFormat="1">
      <c r="I71" s="37"/>
      <c r="J71" s="37"/>
      <c r="K71" s="37"/>
      <c r="L71" s="37"/>
      <c r="M71" s="37"/>
      <c r="N71" s="37"/>
      <c r="O71" s="37"/>
      <c r="P71" s="37"/>
    </row>
    <row r="72" spans="1:16" s="27" customFormat="1">
      <c r="I72" s="37"/>
      <c r="J72" s="37"/>
      <c r="K72" s="37"/>
      <c r="L72" s="37"/>
      <c r="M72" s="37"/>
      <c r="N72" s="37"/>
      <c r="O72" s="37"/>
      <c r="P72" s="37"/>
    </row>
    <row r="73" spans="1:16" s="27" customFormat="1">
      <c r="I73" s="37"/>
      <c r="J73" s="37"/>
      <c r="K73" s="37"/>
      <c r="L73" s="37"/>
      <c r="M73" s="37"/>
      <c r="N73" s="37"/>
      <c r="O73" s="37"/>
      <c r="P73" s="37"/>
    </row>
    <row r="74" spans="1:16" s="27" customFormat="1">
      <c r="A74" s="37"/>
      <c r="B74" s="37"/>
      <c r="C74" s="37"/>
      <c r="D74" s="37"/>
      <c r="E74" s="37"/>
      <c r="F74" s="37"/>
      <c r="G74" s="37"/>
      <c r="H74" s="37"/>
      <c r="I74" s="37"/>
      <c r="J74" s="37"/>
      <c r="K74" s="37"/>
      <c r="L74" s="37"/>
      <c r="M74" s="37"/>
      <c r="N74" s="37"/>
      <c r="O74" s="37"/>
      <c r="P74" s="37"/>
    </row>
    <row r="75" spans="1:16" s="27" customFormat="1">
      <c r="A75" s="37"/>
      <c r="B75" s="37"/>
      <c r="C75" s="37"/>
      <c r="D75" s="37"/>
      <c r="E75" s="37"/>
      <c r="F75" s="37"/>
      <c r="G75" s="37"/>
      <c r="H75" s="37"/>
      <c r="I75" s="37"/>
      <c r="J75" s="37"/>
      <c r="K75" s="37"/>
      <c r="L75" s="37"/>
      <c r="M75" s="37"/>
      <c r="N75" s="37"/>
      <c r="O75" s="37"/>
      <c r="P75" s="37"/>
    </row>
    <row r="76" spans="1:16" s="27" customFormat="1">
      <c r="A76" s="37"/>
      <c r="B76" s="37"/>
      <c r="C76" s="37"/>
      <c r="D76" s="37"/>
      <c r="E76" s="37"/>
      <c r="F76" s="37"/>
      <c r="G76" s="37"/>
      <c r="H76" s="37"/>
      <c r="I76" s="37"/>
      <c r="J76" s="37"/>
      <c r="K76" s="37"/>
      <c r="L76" s="37"/>
      <c r="M76" s="37"/>
      <c r="N76" s="37"/>
      <c r="O76" s="37"/>
      <c r="P76" s="37"/>
    </row>
    <row r="77" spans="1:16" s="27" customFormat="1">
      <c r="A77" s="37"/>
      <c r="B77" s="37"/>
      <c r="C77" s="37"/>
      <c r="D77" s="37"/>
      <c r="E77" s="37"/>
      <c r="F77" s="37"/>
      <c r="G77" s="37"/>
      <c r="H77" s="37"/>
      <c r="I77" s="37"/>
      <c r="J77" s="37"/>
      <c r="K77" s="37"/>
      <c r="L77" s="37"/>
      <c r="M77" s="37"/>
      <c r="N77" s="37"/>
      <c r="O77" s="37"/>
      <c r="P77" s="37"/>
    </row>
    <row r="78" spans="1:16" s="27" customFormat="1">
      <c r="A78" s="37"/>
      <c r="B78" s="37"/>
      <c r="C78" s="37"/>
      <c r="D78" s="37"/>
      <c r="E78" s="37"/>
      <c r="F78" s="37"/>
      <c r="G78" s="37"/>
      <c r="H78" s="37"/>
      <c r="I78" s="37"/>
      <c r="J78" s="37"/>
      <c r="K78" s="37"/>
      <c r="L78" s="37"/>
      <c r="M78" s="37"/>
      <c r="N78" s="37"/>
      <c r="O78" s="37"/>
      <c r="P78" s="37"/>
    </row>
    <row r="79" spans="1:16" s="27" customFormat="1">
      <c r="A79" s="37"/>
      <c r="B79" s="37"/>
      <c r="C79" s="37"/>
      <c r="D79" s="37"/>
      <c r="E79" s="37"/>
      <c r="F79" s="37"/>
      <c r="G79" s="37"/>
      <c r="H79" s="37"/>
      <c r="I79" s="37"/>
      <c r="J79" s="37"/>
      <c r="K79" s="37"/>
      <c r="L79" s="37"/>
      <c r="M79" s="37"/>
      <c r="N79" s="37"/>
      <c r="O79" s="37"/>
      <c r="P79" s="37"/>
    </row>
    <row r="80" spans="1:16" s="27" customFormat="1">
      <c r="A80" s="37"/>
      <c r="B80" s="37"/>
      <c r="C80" s="37"/>
      <c r="D80" s="37"/>
      <c r="E80" s="37"/>
      <c r="F80" s="37"/>
      <c r="G80" s="37"/>
      <c r="H80" s="37"/>
      <c r="I80" s="37"/>
      <c r="J80" s="37"/>
      <c r="K80" s="37"/>
      <c r="L80" s="37"/>
      <c r="M80" s="37"/>
      <c r="N80" s="37"/>
      <c r="O80" s="37"/>
      <c r="P80" s="37"/>
    </row>
    <row r="81" spans="1:24" s="27" customFormat="1">
      <c r="A81" s="37"/>
      <c r="B81" s="37"/>
      <c r="C81" s="37"/>
      <c r="D81" s="37"/>
      <c r="E81" s="37"/>
      <c r="F81" s="37"/>
      <c r="G81" s="37"/>
      <c r="H81" s="37"/>
      <c r="I81" s="37"/>
      <c r="J81" s="37"/>
      <c r="K81" s="37"/>
      <c r="L81" s="37"/>
      <c r="M81" s="37"/>
      <c r="N81" s="37"/>
      <c r="O81" s="37"/>
      <c r="P81" s="37"/>
    </row>
    <row r="82" spans="1:24" s="27" customFormat="1" ht="15.75">
      <c r="A82" s="37"/>
      <c r="B82" s="37"/>
      <c r="C82" s="37"/>
      <c r="D82" s="37"/>
      <c r="E82" s="37"/>
      <c r="F82" s="37"/>
      <c r="G82" s="37"/>
      <c r="H82" s="37"/>
      <c r="I82" s="37"/>
      <c r="J82" s="37"/>
      <c r="K82" s="37"/>
      <c r="L82" s="37"/>
      <c r="M82" s="38"/>
      <c r="N82" s="38"/>
      <c r="O82" s="38"/>
      <c r="P82" s="38"/>
      <c r="U82" s="7"/>
      <c r="V82" s="7"/>
      <c r="W82" s="7"/>
      <c r="X82" s="7"/>
    </row>
    <row r="83" spans="1:24">
      <c r="I83" s="37"/>
      <c r="J83" s="37"/>
      <c r="K83" s="37"/>
      <c r="L83" s="37"/>
    </row>
    <row r="84" spans="1:24">
      <c r="I84" s="37"/>
      <c r="J84" s="37"/>
      <c r="K84" s="37"/>
      <c r="L84" s="37"/>
    </row>
    <row r="85" spans="1:24">
      <c r="I85" s="37"/>
      <c r="J85" s="37"/>
      <c r="K85" s="37"/>
      <c r="L85" s="37"/>
    </row>
  </sheetData>
  <mergeCells count="10">
    <mergeCell ref="A46:G46"/>
    <mergeCell ref="A4:G4"/>
    <mergeCell ref="J1:P1"/>
    <mergeCell ref="J2:P2"/>
    <mergeCell ref="J3:P3"/>
    <mergeCell ref="J4:P4"/>
    <mergeCell ref="A1:G1"/>
    <mergeCell ref="A2:G2"/>
    <mergeCell ref="A3:G3"/>
    <mergeCell ref="K37:P37"/>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86"/>
  <sheetViews>
    <sheetView topLeftCell="Q1" zoomScaleNormal="100" workbookViewId="0">
      <selection activeCell="AE3" sqref="AE3"/>
    </sheetView>
  </sheetViews>
  <sheetFormatPr baseColWidth="10" defaultRowHeight="15"/>
  <cols>
    <col min="1" max="1" width="39.7109375" style="66" bestFit="1" customWidth="1"/>
    <col min="2" max="2" width="4.42578125" style="66" bestFit="1" customWidth="1"/>
    <col min="3" max="3" width="6.28515625" style="66" bestFit="1" customWidth="1"/>
    <col min="4" max="4" width="4.85546875" style="66" bestFit="1" customWidth="1"/>
    <col min="5" max="5" width="5" style="66" bestFit="1" customWidth="1"/>
    <col min="6" max="6" width="4.85546875" style="66" bestFit="1" customWidth="1"/>
    <col min="7" max="7" width="5" style="66" bestFit="1" customWidth="1"/>
    <col min="8" max="8" width="4.85546875" style="66" bestFit="1" customWidth="1"/>
    <col min="9" max="9" width="5" style="66" bestFit="1" customWidth="1"/>
    <col min="10" max="10" width="4.85546875" style="66" bestFit="1" customWidth="1"/>
    <col min="11" max="11" width="5" style="66" bestFit="1" customWidth="1"/>
    <col min="12" max="12" width="4.85546875" style="66" bestFit="1" customWidth="1"/>
    <col min="13" max="13" width="5" style="66" bestFit="1" customWidth="1"/>
    <col min="14" max="14" width="4.28515625" style="38" customWidth="1"/>
    <col min="15" max="15" width="6" style="38" customWidth="1"/>
    <col min="16" max="16" width="22" style="38" bestFit="1" customWidth="1"/>
    <col min="17" max="17" width="14.7109375" style="38" bestFit="1" customWidth="1"/>
    <col min="18" max="18" width="11.140625" style="38" bestFit="1" customWidth="1"/>
    <col min="19" max="19" width="11.85546875" style="38" bestFit="1" customWidth="1"/>
    <col min="20" max="20" width="11.140625" style="38" bestFit="1" customWidth="1"/>
    <col min="21" max="21" width="11.85546875" style="38" bestFit="1" customWidth="1"/>
    <col min="22" max="22" width="11.140625" style="38" bestFit="1" customWidth="1"/>
    <col min="23" max="23" width="11.85546875" style="38" bestFit="1" customWidth="1"/>
    <col min="24" max="24" width="11.140625" style="38" bestFit="1" customWidth="1"/>
    <col min="25" max="25" width="11.85546875" style="38" bestFit="1" customWidth="1"/>
    <col min="26" max="26" width="11.140625" style="38" bestFit="1" customWidth="1"/>
    <col min="27" max="27" width="11.85546875" style="38" bestFit="1" customWidth="1"/>
    <col min="28" max="28" width="11.140625" style="7" bestFit="1" customWidth="1"/>
    <col min="29" max="16384" width="11.42578125" style="7"/>
  </cols>
  <sheetData>
    <row r="1" spans="1:28" ht="15.75" thickBot="1">
      <c r="A1" s="433" t="s">
        <v>100</v>
      </c>
      <c r="B1" s="434"/>
      <c r="C1" s="434"/>
      <c r="D1" s="434"/>
      <c r="E1" s="434"/>
      <c r="F1" s="434"/>
      <c r="G1" s="434"/>
      <c r="H1" s="434"/>
      <c r="I1" s="434"/>
      <c r="J1" s="434"/>
      <c r="K1" s="434"/>
      <c r="L1" s="434"/>
      <c r="M1" s="435"/>
      <c r="P1" s="448" t="s">
        <v>101</v>
      </c>
      <c r="Q1" s="451"/>
      <c r="R1" s="451"/>
      <c r="S1" s="451"/>
      <c r="T1" s="451"/>
      <c r="U1" s="451"/>
      <c r="V1" s="451"/>
      <c r="W1" s="451"/>
      <c r="X1" s="451"/>
      <c r="Y1" s="451"/>
      <c r="Z1" s="451"/>
      <c r="AA1" s="451"/>
      <c r="AB1" s="451"/>
    </row>
    <row r="2" spans="1:28" ht="18" customHeight="1" thickBot="1">
      <c r="A2" s="433" t="s">
        <v>97</v>
      </c>
      <c r="B2" s="434"/>
      <c r="C2" s="434"/>
      <c r="D2" s="434"/>
      <c r="E2" s="434"/>
      <c r="F2" s="434"/>
      <c r="G2" s="434"/>
      <c r="H2" s="434"/>
      <c r="I2" s="434"/>
      <c r="J2" s="434"/>
      <c r="K2" s="434"/>
      <c r="L2" s="434"/>
      <c r="M2" s="435"/>
      <c r="P2" s="447"/>
      <c r="Q2" s="445">
        <v>2015</v>
      </c>
      <c r="R2" s="446"/>
      <c r="S2" s="445">
        <v>2016</v>
      </c>
      <c r="T2" s="446"/>
      <c r="U2" s="445">
        <v>2017</v>
      </c>
      <c r="V2" s="446"/>
      <c r="W2" s="445">
        <v>2018</v>
      </c>
      <c r="X2" s="446"/>
      <c r="Y2" s="445">
        <v>2019</v>
      </c>
      <c r="Z2" s="446"/>
      <c r="AA2" s="445">
        <v>2020</v>
      </c>
      <c r="AB2" s="446"/>
    </row>
    <row r="3" spans="1:28" ht="18" customHeight="1" thickBot="1">
      <c r="A3" s="436" t="s">
        <v>98</v>
      </c>
      <c r="B3" s="437"/>
      <c r="C3" s="437"/>
      <c r="D3" s="437"/>
      <c r="E3" s="437"/>
      <c r="F3" s="437"/>
      <c r="G3" s="437"/>
      <c r="H3" s="437"/>
      <c r="I3" s="437"/>
      <c r="J3" s="437"/>
      <c r="K3" s="437"/>
      <c r="L3" s="437"/>
      <c r="M3" s="438"/>
      <c r="P3" s="452"/>
      <c r="Q3" s="31" t="s">
        <v>109</v>
      </c>
      <c r="R3" s="31" t="s">
        <v>113</v>
      </c>
      <c r="S3" s="31" t="s">
        <v>110</v>
      </c>
      <c r="T3" s="31" t="s">
        <v>114</v>
      </c>
      <c r="U3" s="31" t="s">
        <v>111</v>
      </c>
      <c r="V3" s="31" t="s">
        <v>115</v>
      </c>
      <c r="W3" s="31" t="s">
        <v>112</v>
      </c>
      <c r="X3" s="31" t="s">
        <v>116</v>
      </c>
      <c r="Y3" s="31" t="s">
        <v>104</v>
      </c>
      <c r="Z3" s="31" t="s">
        <v>105</v>
      </c>
      <c r="AA3" s="31" t="s">
        <v>102</v>
      </c>
      <c r="AB3" s="31" t="s">
        <v>103</v>
      </c>
    </row>
    <row r="4" spans="1:28" ht="18.75" customHeight="1" thickBot="1">
      <c r="A4" s="427" t="s">
        <v>160</v>
      </c>
      <c r="B4" s="428"/>
      <c r="C4" s="428"/>
      <c r="D4" s="428"/>
      <c r="E4" s="428"/>
      <c r="F4" s="428"/>
      <c r="G4" s="428"/>
      <c r="H4" s="428"/>
      <c r="I4" s="428"/>
      <c r="J4" s="428"/>
      <c r="K4" s="428"/>
      <c r="L4" s="428"/>
      <c r="M4" s="429"/>
      <c r="P4" s="34" t="s">
        <v>106</v>
      </c>
      <c r="Q4" s="135">
        <f>+'Análisis Vertical'!B18</f>
        <v>384293152</v>
      </c>
      <c r="R4" s="136">
        <v>1</v>
      </c>
      <c r="S4" s="135">
        <f>+'Análisis Vertical'!D18</f>
        <v>479951794</v>
      </c>
      <c r="T4" s="136">
        <v>1</v>
      </c>
      <c r="U4" s="135">
        <f>+'Análisis Vertical'!F18</f>
        <v>510626363</v>
      </c>
      <c r="V4" s="136">
        <v>1</v>
      </c>
      <c r="W4" s="135">
        <f>+'Análisis Vertical'!H18</f>
        <v>718326106</v>
      </c>
      <c r="X4" s="136">
        <v>1</v>
      </c>
      <c r="Y4" s="135">
        <f>+'Análisis Vertical'!J18</f>
        <v>738195504</v>
      </c>
      <c r="Z4" s="136">
        <v>1</v>
      </c>
      <c r="AA4" s="135">
        <f>+'Análisis Vertical'!L18</f>
        <v>983266719</v>
      </c>
      <c r="AB4" s="136">
        <v>1</v>
      </c>
    </row>
    <row r="5" spans="1:28" s="30" customFormat="1" ht="14.25" thickBot="1">
      <c r="A5" s="39"/>
      <c r="B5" s="40">
        <v>2015</v>
      </c>
      <c r="C5" s="40" t="s">
        <v>162</v>
      </c>
      <c r="D5" s="40">
        <v>2016</v>
      </c>
      <c r="E5" s="40" t="s">
        <v>162</v>
      </c>
      <c r="F5" s="40">
        <v>2017</v>
      </c>
      <c r="G5" s="40" t="s">
        <v>162</v>
      </c>
      <c r="H5" s="40">
        <v>2018</v>
      </c>
      <c r="I5" s="40" t="s">
        <v>162</v>
      </c>
      <c r="J5" s="40">
        <v>2019</v>
      </c>
      <c r="K5" s="40" t="s">
        <v>162</v>
      </c>
      <c r="L5" s="40">
        <v>2020</v>
      </c>
      <c r="M5" s="40" t="s">
        <v>162</v>
      </c>
      <c r="N5" s="38"/>
      <c r="P5" s="33" t="s">
        <v>107</v>
      </c>
      <c r="Q5" s="137">
        <f>+'Análisis Vertical'!B32</f>
        <v>368558302</v>
      </c>
      <c r="R5" s="138">
        <f>+Q5/Q4</f>
        <v>0.95905508615464474</v>
      </c>
      <c r="S5" s="137">
        <f>+'Análisis Vertical'!D32</f>
        <v>307226884</v>
      </c>
      <c r="T5" s="139">
        <f>+S5/S4</f>
        <v>0.64012029508113477</v>
      </c>
      <c r="U5" s="137">
        <f>+'Análisis Vertical'!F32</f>
        <v>390274036</v>
      </c>
      <c r="V5" s="138">
        <f>+U5/U4</f>
        <v>0.76430451750882278</v>
      </c>
      <c r="W5" s="137">
        <f>+'Análisis Vertical'!H32</f>
        <v>626147878</v>
      </c>
      <c r="X5" s="138">
        <f>+W5/W4</f>
        <v>0.87167634973856845</v>
      </c>
      <c r="Y5" s="137">
        <f>+'Análisis Vertical'!J32</f>
        <v>543936197</v>
      </c>
      <c r="Z5" s="138">
        <f>+Y5/Y4</f>
        <v>0.73684571912537689</v>
      </c>
      <c r="AA5" s="137">
        <f>+'Análisis Vertical'!L32</f>
        <v>554583236</v>
      </c>
      <c r="AB5" s="140">
        <f>+AA5/AA4</f>
        <v>0.56402116056975993</v>
      </c>
    </row>
    <row r="6" spans="1:28" s="27" customFormat="1" ht="15.75" thickBot="1">
      <c r="A6" s="41" t="s">
        <v>30</v>
      </c>
      <c r="B6" s="67"/>
      <c r="C6" s="67"/>
      <c r="D6" s="67"/>
      <c r="E6" s="67"/>
      <c r="F6" s="67"/>
      <c r="G6" s="67"/>
      <c r="H6" s="67"/>
      <c r="I6" s="67"/>
      <c r="J6" s="67"/>
      <c r="K6" s="67"/>
      <c r="L6" s="67"/>
      <c r="M6" s="68"/>
      <c r="N6" s="37"/>
      <c r="P6" s="32" t="s">
        <v>108</v>
      </c>
      <c r="Q6" s="141">
        <f>+'Análisis Vertical'!B40</f>
        <v>15734849</v>
      </c>
      <c r="R6" s="142">
        <f>+Q6/Q4</f>
        <v>4.0944911243175106E-2</v>
      </c>
      <c r="S6" s="141">
        <f>+'Análisis Vertical'!D40</f>
        <v>172724910</v>
      </c>
      <c r="T6" s="143">
        <f>+S6/S4</f>
        <v>0.35987970491886523</v>
      </c>
      <c r="U6" s="141">
        <f>+'Análisis Vertical'!F40</f>
        <v>120352327</v>
      </c>
      <c r="V6" s="142">
        <f>+U6/U4</f>
        <v>0.23569548249117722</v>
      </c>
      <c r="W6" s="141">
        <f>+'Análisis Vertical'!H40</f>
        <v>92178229</v>
      </c>
      <c r="X6" s="142">
        <f>+W6/W4</f>
        <v>0.12832365165355691</v>
      </c>
      <c r="Y6" s="141">
        <f>+'Análisis Vertical'!J40</f>
        <v>194259083</v>
      </c>
      <c r="Z6" s="142">
        <f>+Y6/Y4</f>
        <v>0.26315397743197311</v>
      </c>
      <c r="AA6" s="141">
        <f>+'Análisis Vertical'!L40</f>
        <v>428683483</v>
      </c>
      <c r="AB6" s="142">
        <f>+AA6/AA4</f>
        <v>0.43597883943024007</v>
      </c>
    </row>
    <row r="7" spans="1:28" s="28" customFormat="1" ht="15.75" thickBot="1">
      <c r="A7" s="42" t="s">
        <v>31</v>
      </c>
      <c r="B7" s="56"/>
      <c r="C7" s="56"/>
      <c r="D7" s="56"/>
      <c r="E7" s="56"/>
      <c r="F7" s="56"/>
      <c r="G7" s="56"/>
      <c r="H7" s="56"/>
      <c r="I7" s="56"/>
      <c r="J7" s="56"/>
      <c r="K7" s="56"/>
      <c r="L7" s="56"/>
      <c r="M7" s="69"/>
      <c r="N7" s="43"/>
      <c r="P7" s="43"/>
      <c r="Q7" s="44"/>
      <c r="R7" s="43"/>
      <c r="S7" s="44"/>
      <c r="T7" s="43"/>
      <c r="U7" s="44"/>
      <c r="V7" s="43"/>
      <c r="W7" s="44"/>
      <c r="X7" s="43"/>
      <c r="Y7" s="44"/>
      <c r="Z7" s="43"/>
      <c r="AA7" s="44"/>
      <c r="AB7" s="43"/>
    </row>
    <row r="8" spans="1:28" s="27" customFormat="1" ht="15.75" thickBot="1">
      <c r="A8" s="45" t="s">
        <v>32</v>
      </c>
      <c r="B8" s="46">
        <v>23013656</v>
      </c>
      <c r="C8" s="47">
        <f>+B8/$B$18</f>
        <v>5.9885678108570616E-2</v>
      </c>
      <c r="D8" s="46">
        <v>16025937</v>
      </c>
      <c r="E8" s="47">
        <f>+D8/$D$18</f>
        <v>3.3390722152400167E-2</v>
      </c>
      <c r="F8" s="46">
        <v>123418719</v>
      </c>
      <c r="G8" s="47">
        <f>+F8/$F$18</f>
        <v>0.24170064051314955</v>
      </c>
      <c r="H8" s="46">
        <v>196563193</v>
      </c>
      <c r="I8" s="47">
        <f>+H8/$H$18</f>
        <v>0.27364060885182417</v>
      </c>
      <c r="J8" s="46">
        <v>49372907</v>
      </c>
      <c r="K8" s="47">
        <f>+J8/$J$18</f>
        <v>6.6883239917429782E-2</v>
      </c>
      <c r="L8" s="46">
        <v>100663317</v>
      </c>
      <c r="M8" s="47">
        <f>+L8/$L$18</f>
        <v>0.1023764102403226</v>
      </c>
      <c r="N8" s="37"/>
      <c r="P8" s="442" t="s">
        <v>117</v>
      </c>
      <c r="Q8" s="443"/>
      <c r="R8" s="443"/>
      <c r="S8" s="443"/>
      <c r="T8" s="443"/>
      <c r="U8" s="443"/>
      <c r="V8" s="443"/>
      <c r="W8" s="443"/>
      <c r="X8" s="443"/>
      <c r="Y8" s="443"/>
      <c r="Z8" s="443"/>
      <c r="AA8" s="443"/>
      <c r="AB8" s="444"/>
    </row>
    <row r="9" spans="1:28" s="27" customFormat="1" ht="15.75" thickBot="1">
      <c r="A9" s="45" t="s">
        <v>33</v>
      </c>
      <c r="B9" s="46">
        <v>21036068</v>
      </c>
      <c r="C9" s="47">
        <f>+B9/$B$18</f>
        <v>5.4739637931409194E-2</v>
      </c>
      <c r="D9" s="46">
        <v>24265911</v>
      </c>
      <c r="E9" s="47">
        <f>+D9/$D$18</f>
        <v>5.0559058854148173E-2</v>
      </c>
      <c r="F9" s="46">
        <v>39123528</v>
      </c>
      <c r="G9" s="47">
        <f>+F9/$F$18</f>
        <v>7.6618699767367862E-2</v>
      </c>
      <c r="H9" s="46">
        <v>81214177</v>
      </c>
      <c r="I9" s="47">
        <f>+H9/$H$18</f>
        <v>0.11306031664676823</v>
      </c>
      <c r="J9" s="46">
        <v>72801761</v>
      </c>
      <c r="K9" s="47">
        <f>+J9/$J$18</f>
        <v>9.8621246818105787E-2</v>
      </c>
      <c r="L9" s="46">
        <v>209155086</v>
      </c>
      <c r="M9" s="47">
        <f>+L9/$L$18</f>
        <v>0.21271449745875107</v>
      </c>
      <c r="N9" s="37"/>
      <c r="P9" s="447"/>
      <c r="Q9" s="445">
        <v>2015</v>
      </c>
      <c r="R9" s="446"/>
      <c r="S9" s="445">
        <v>2016</v>
      </c>
      <c r="T9" s="446"/>
      <c r="U9" s="445">
        <v>2017</v>
      </c>
      <c r="V9" s="446"/>
      <c r="W9" s="445">
        <v>2018</v>
      </c>
      <c r="X9" s="446"/>
      <c r="Y9" s="445">
        <v>2019</v>
      </c>
      <c r="Z9" s="446"/>
      <c r="AA9" s="445">
        <v>2020</v>
      </c>
      <c r="AB9" s="446"/>
    </row>
    <row r="10" spans="1:28" s="27" customFormat="1" ht="15.75" thickBot="1">
      <c r="A10" s="45" t="s">
        <v>34</v>
      </c>
      <c r="B10" s="46">
        <v>280586787</v>
      </c>
      <c r="C10" s="47">
        <f>+B10/$B$18</f>
        <v>0.73013735878384844</v>
      </c>
      <c r="D10" s="46">
        <v>388244289</v>
      </c>
      <c r="E10" s="47">
        <f>+D10/$D$18</f>
        <v>0.80892350826383197</v>
      </c>
      <c r="F10" s="46">
        <v>264648969</v>
      </c>
      <c r="G10" s="47">
        <f>+F10/$F$18</f>
        <v>0.51828301117308351</v>
      </c>
      <c r="H10" s="46">
        <v>368327627</v>
      </c>
      <c r="I10" s="47">
        <f>+H10/$H$18</f>
        <v>0.51275823602045167</v>
      </c>
      <c r="J10" s="46">
        <v>312764949</v>
      </c>
      <c r="K10" s="47">
        <f>+J10/$J$18</f>
        <v>0.4236885043396309</v>
      </c>
      <c r="L10" s="46">
        <v>312353000</v>
      </c>
      <c r="M10" s="47">
        <f>+L10/$L$18</f>
        <v>0.31766863859448902</v>
      </c>
      <c r="N10" s="37"/>
      <c r="P10" s="448"/>
      <c r="Q10" s="31" t="s">
        <v>109</v>
      </c>
      <c r="R10" s="31" t="s">
        <v>113</v>
      </c>
      <c r="S10" s="31" t="s">
        <v>110</v>
      </c>
      <c r="T10" s="31" t="s">
        <v>114</v>
      </c>
      <c r="U10" s="31" t="s">
        <v>111</v>
      </c>
      <c r="V10" s="31" t="s">
        <v>115</v>
      </c>
      <c r="W10" s="31" t="s">
        <v>112</v>
      </c>
      <c r="X10" s="31" t="s">
        <v>116</v>
      </c>
      <c r="Y10" s="31" t="s">
        <v>104</v>
      </c>
      <c r="Z10" s="31" t="s">
        <v>105</v>
      </c>
      <c r="AA10" s="31" t="s">
        <v>102</v>
      </c>
      <c r="AB10" s="31" t="s">
        <v>103</v>
      </c>
    </row>
    <row r="11" spans="1:28" s="27" customFormat="1" ht="15.75" thickBot="1">
      <c r="A11" s="45" t="s">
        <v>35</v>
      </c>
      <c r="B11" s="46">
        <v>3880103</v>
      </c>
      <c r="C11" s="47">
        <f>+B11/$B$18</f>
        <v>1.009672688624959E-2</v>
      </c>
      <c r="D11" s="46">
        <v>5693959</v>
      </c>
      <c r="E11" s="47">
        <f>+D11/$D$18</f>
        <v>1.186360603540113E-2</v>
      </c>
      <c r="F11" s="46">
        <v>14015294</v>
      </c>
      <c r="G11" s="47">
        <f>+F11/$F$18</f>
        <v>2.7447258926582292E-2</v>
      </c>
      <c r="H11" s="46">
        <v>18698322</v>
      </c>
      <c r="I11" s="47">
        <f>+H11/$H$18</f>
        <v>2.6030408534254219E-2</v>
      </c>
      <c r="J11" s="48">
        <v>239753949</v>
      </c>
      <c r="K11" s="47">
        <f>+J11/$J$18</f>
        <v>0.32478381092930636</v>
      </c>
      <c r="L11" s="48">
        <v>189833537</v>
      </c>
      <c r="M11" s="47">
        <f>+L11/$L$18</f>
        <v>0.19306413339512207</v>
      </c>
      <c r="N11" s="37"/>
      <c r="P11" s="133" t="s">
        <v>118</v>
      </c>
      <c r="Q11" s="144">
        <f>+'Análisis Vertical'!B18</f>
        <v>384293152</v>
      </c>
      <c r="R11" s="145">
        <v>1</v>
      </c>
      <c r="S11" s="144">
        <f>+'Análisis Vertical'!D18</f>
        <v>479951794</v>
      </c>
      <c r="T11" s="145">
        <v>1</v>
      </c>
      <c r="U11" s="144">
        <f>+'Análisis Vertical'!F18</f>
        <v>510626363</v>
      </c>
      <c r="V11" s="145">
        <v>1</v>
      </c>
      <c r="W11" s="144">
        <f>+'Análisis Vertical'!H18</f>
        <v>718326106</v>
      </c>
      <c r="X11" s="145">
        <v>1</v>
      </c>
      <c r="Y11" s="144">
        <f>+'Análisis Vertical'!J18</f>
        <v>738195504</v>
      </c>
      <c r="Z11" s="145">
        <v>1</v>
      </c>
      <c r="AA11" s="144">
        <f>+'Análisis Vertical'!L18</f>
        <v>983266719</v>
      </c>
      <c r="AB11" s="145">
        <v>1</v>
      </c>
    </row>
    <row r="12" spans="1:28" s="27" customFormat="1" ht="13.5" customHeight="1" thickBot="1">
      <c r="A12" s="39" t="s">
        <v>36</v>
      </c>
      <c r="B12" s="49">
        <f t="shared" ref="B12:M12" si="0">SUM(B8:B11)</f>
        <v>328516614</v>
      </c>
      <c r="C12" s="50">
        <f t="shared" si="0"/>
        <v>0.8548594017100779</v>
      </c>
      <c r="D12" s="49">
        <f t="shared" si="0"/>
        <v>434230096</v>
      </c>
      <c r="E12" s="50">
        <f t="shared" si="0"/>
        <v>0.9047368953057815</v>
      </c>
      <c r="F12" s="49">
        <f t="shared" si="0"/>
        <v>441206510</v>
      </c>
      <c r="G12" s="50">
        <f t="shared" si="0"/>
        <v>0.86404961038018324</v>
      </c>
      <c r="H12" s="49">
        <f t="shared" si="0"/>
        <v>664803319</v>
      </c>
      <c r="I12" s="50">
        <f t="shared" si="0"/>
        <v>0.92548957005329835</v>
      </c>
      <c r="J12" s="49">
        <f t="shared" si="0"/>
        <v>674693566</v>
      </c>
      <c r="K12" s="50">
        <f t="shared" si="0"/>
        <v>0.91397680200447295</v>
      </c>
      <c r="L12" s="49">
        <f t="shared" si="0"/>
        <v>812004940</v>
      </c>
      <c r="M12" s="116">
        <f t="shared" si="0"/>
        <v>0.82582367968868475</v>
      </c>
      <c r="N12" s="37"/>
      <c r="P12" s="130" t="s">
        <v>128</v>
      </c>
      <c r="Q12" s="146">
        <f>+'Análisis Vertical'!B12</f>
        <v>328516614</v>
      </c>
      <c r="R12" s="147">
        <f>+Q12/Q11</f>
        <v>0.85485940171007779</v>
      </c>
      <c r="S12" s="146">
        <f>+'Análisis Vertical'!D12</f>
        <v>434230096</v>
      </c>
      <c r="T12" s="147">
        <f>+S12/S11</f>
        <v>0.9047368953057815</v>
      </c>
      <c r="U12" s="146">
        <f>+'Análisis Vertical'!F12</f>
        <v>441206510</v>
      </c>
      <c r="V12" s="147">
        <f>+U12/U11</f>
        <v>0.86404961038018324</v>
      </c>
      <c r="W12" s="146">
        <f>+'Análisis Vertical'!H12</f>
        <v>664803319</v>
      </c>
      <c r="X12" s="147">
        <f>+W12/W11</f>
        <v>0.92548957005329835</v>
      </c>
      <c r="Y12" s="146">
        <f>+'Análisis Vertical'!J12</f>
        <v>674693566</v>
      </c>
      <c r="Z12" s="147">
        <f>+Y12/Y11</f>
        <v>0.91397680200447273</v>
      </c>
      <c r="AA12" s="146">
        <f>+'Análisis Vertical'!L12</f>
        <v>812004940</v>
      </c>
      <c r="AB12" s="147">
        <f>+AA12/AA11</f>
        <v>0.82582367968868475</v>
      </c>
    </row>
    <row r="13" spans="1:28" s="27" customFormat="1" ht="15.75" thickBot="1">
      <c r="A13" s="51" t="s">
        <v>37</v>
      </c>
      <c r="B13" s="46"/>
      <c r="C13" s="47"/>
      <c r="D13" s="46"/>
      <c r="E13" s="47"/>
      <c r="F13" s="46"/>
      <c r="G13" s="47"/>
      <c r="H13" s="46"/>
      <c r="I13" s="47"/>
      <c r="J13" s="46"/>
      <c r="K13" s="47"/>
      <c r="L13" s="46"/>
      <c r="M13" s="47"/>
      <c r="N13" s="37"/>
      <c r="P13" s="134" t="s">
        <v>129</v>
      </c>
      <c r="Q13" s="148">
        <f>+'Análisis Vertical'!B16</f>
        <v>55776538</v>
      </c>
      <c r="R13" s="149">
        <f>+Q13/Q11</f>
        <v>0.14514059828992218</v>
      </c>
      <c r="S13" s="148">
        <f>+'Análisis Vertical'!D16</f>
        <v>45721698</v>
      </c>
      <c r="T13" s="149">
        <f>+S13/S11</f>
        <v>9.5263104694218517E-2</v>
      </c>
      <c r="U13" s="148">
        <f>+'Análisis Vertical'!F16</f>
        <v>69419853</v>
      </c>
      <c r="V13" s="149">
        <f>+U13/U11</f>
        <v>0.13595038961981679</v>
      </c>
      <c r="W13" s="148">
        <f>+'Análisis Vertical'!H16</f>
        <v>53522787</v>
      </c>
      <c r="X13" s="149">
        <f>+W13/W11</f>
        <v>7.4510429946701678E-2</v>
      </c>
      <c r="Y13" s="148">
        <f>+'Análisis Vertical'!J16</f>
        <v>63501938</v>
      </c>
      <c r="Z13" s="149">
        <f>+Y13/Y11</f>
        <v>8.6023197995527212E-2</v>
      </c>
      <c r="AA13" s="148">
        <f>+'Análisis Vertical'!L16</f>
        <v>171261779</v>
      </c>
      <c r="AB13" s="149">
        <f>+AA13/AA11</f>
        <v>0.17417632031131525</v>
      </c>
    </row>
    <row r="14" spans="1:28" s="27" customFormat="1" ht="15.75" thickBot="1">
      <c r="A14" s="45" t="s">
        <v>38</v>
      </c>
      <c r="B14" s="46">
        <v>54526538</v>
      </c>
      <c r="C14" s="47">
        <f>+B14/$B$18</f>
        <v>0.14188787314117948</v>
      </c>
      <c r="D14" s="46">
        <v>45721698</v>
      </c>
      <c r="E14" s="47">
        <f>+D14/$D$18</f>
        <v>9.5263104694218517E-2</v>
      </c>
      <c r="F14" s="46">
        <v>69419853</v>
      </c>
      <c r="G14" s="47">
        <f>+F14/$F$18</f>
        <v>0.13595038961981679</v>
      </c>
      <c r="H14" s="46">
        <v>53522787</v>
      </c>
      <c r="I14" s="47">
        <f>+H14/$H$18</f>
        <v>7.4510429946701678E-2</v>
      </c>
      <c r="J14" s="48">
        <v>63501938</v>
      </c>
      <c r="K14" s="47">
        <f>+J14/$J$18</f>
        <v>8.6023197995527212E-2</v>
      </c>
      <c r="L14" s="48">
        <v>171261779</v>
      </c>
      <c r="M14" s="47">
        <f>+L14/$L$18</f>
        <v>0.17417632031131525</v>
      </c>
      <c r="N14" s="37"/>
      <c r="P14" s="37"/>
      <c r="Q14" s="37"/>
      <c r="R14" s="37"/>
      <c r="S14" s="37"/>
      <c r="T14" s="37"/>
      <c r="U14" s="37"/>
      <c r="V14" s="37"/>
      <c r="W14" s="37"/>
      <c r="X14" s="37"/>
      <c r="Y14" s="37"/>
      <c r="Z14" s="37"/>
      <c r="AA14" s="37"/>
      <c r="AB14" s="37"/>
    </row>
    <row r="15" spans="1:28" s="27" customFormat="1" ht="15.75" thickBot="1">
      <c r="A15" s="45" t="s">
        <v>39</v>
      </c>
      <c r="B15" s="46">
        <v>1250000</v>
      </c>
      <c r="C15" s="47">
        <f>+B15/$B$18</f>
        <v>3.2527251487426976E-3</v>
      </c>
      <c r="D15" s="46">
        <v>0</v>
      </c>
      <c r="E15" s="47">
        <f>+D15/$D$18</f>
        <v>0</v>
      </c>
      <c r="F15" s="46"/>
      <c r="G15" s="47"/>
      <c r="H15" s="46"/>
      <c r="I15" s="47"/>
      <c r="J15" s="46"/>
      <c r="K15" s="47"/>
      <c r="L15" s="46"/>
      <c r="M15" s="47"/>
      <c r="N15" s="37"/>
      <c r="P15" s="442" t="s">
        <v>119</v>
      </c>
      <c r="Q15" s="443"/>
      <c r="R15" s="443"/>
      <c r="S15" s="443"/>
      <c r="T15" s="443"/>
      <c r="U15" s="443"/>
      <c r="V15" s="443"/>
      <c r="W15" s="443"/>
      <c r="X15" s="443"/>
      <c r="Y15" s="443"/>
      <c r="Z15" s="443"/>
      <c r="AA15" s="443"/>
      <c r="AB15" s="444"/>
    </row>
    <row r="16" spans="1:28" s="27" customFormat="1" ht="15.75" thickBot="1">
      <c r="A16" s="39" t="s">
        <v>40</v>
      </c>
      <c r="B16" s="49">
        <f>+B14+B15</f>
        <v>55776538</v>
      </c>
      <c r="C16" s="50">
        <f>SUM(C13:C15)</f>
        <v>0.14514059828992218</v>
      </c>
      <c r="D16" s="49">
        <f>+D14+D15</f>
        <v>45721698</v>
      </c>
      <c r="E16" s="50">
        <f>SUM(E13:E15)</f>
        <v>9.5263104694218517E-2</v>
      </c>
      <c r="F16" s="49">
        <f>+F14+F15</f>
        <v>69419853</v>
      </c>
      <c r="G16" s="50">
        <f>SUM(G13:G15)</f>
        <v>0.13595038961981679</v>
      </c>
      <c r="H16" s="49">
        <f>+H14+H15</f>
        <v>53522787</v>
      </c>
      <c r="I16" s="50">
        <f>SUM(I13:I15)</f>
        <v>7.4510429946701678E-2</v>
      </c>
      <c r="J16" s="49">
        <f>+J14+J15</f>
        <v>63501938</v>
      </c>
      <c r="K16" s="50">
        <f>SUM(K13:K15)</f>
        <v>8.6023197995527212E-2</v>
      </c>
      <c r="L16" s="49">
        <f>+L14+L15</f>
        <v>171261779</v>
      </c>
      <c r="M16" s="116">
        <f>SUM(M13:M15)</f>
        <v>0.17417632031131525</v>
      </c>
      <c r="N16" s="37"/>
      <c r="P16" s="447"/>
      <c r="Q16" s="445">
        <v>2015</v>
      </c>
      <c r="R16" s="446"/>
      <c r="S16" s="445">
        <v>2016</v>
      </c>
      <c r="T16" s="446"/>
      <c r="U16" s="445">
        <v>2017</v>
      </c>
      <c r="V16" s="446"/>
      <c r="W16" s="445">
        <v>2018</v>
      </c>
      <c r="X16" s="446"/>
      <c r="Y16" s="445">
        <v>2019</v>
      </c>
      <c r="Z16" s="446"/>
      <c r="AA16" s="445">
        <v>2020</v>
      </c>
      <c r="AB16" s="446"/>
    </row>
    <row r="17" spans="1:28" s="27" customFormat="1" ht="15.75" thickBot="1">
      <c r="A17" s="37"/>
      <c r="B17" s="52"/>
      <c r="C17" s="53"/>
      <c r="D17" s="52"/>
      <c r="E17" s="53"/>
      <c r="F17" s="52"/>
      <c r="G17" s="53"/>
      <c r="H17" s="52"/>
      <c r="I17" s="53"/>
      <c r="J17" s="52"/>
      <c r="K17" s="53"/>
      <c r="L17" s="52"/>
      <c r="M17" s="53"/>
      <c r="N17" s="37"/>
      <c r="P17" s="448"/>
      <c r="Q17" s="31" t="s">
        <v>109</v>
      </c>
      <c r="R17" s="31" t="s">
        <v>113</v>
      </c>
      <c r="S17" s="31" t="s">
        <v>110</v>
      </c>
      <c r="T17" s="31" t="s">
        <v>114</v>
      </c>
      <c r="U17" s="31" t="s">
        <v>111</v>
      </c>
      <c r="V17" s="31" t="s">
        <v>115</v>
      </c>
      <c r="W17" s="31" t="s">
        <v>112</v>
      </c>
      <c r="X17" s="31" t="s">
        <v>116</v>
      </c>
      <c r="Y17" s="31" t="s">
        <v>104</v>
      </c>
      <c r="Z17" s="31" t="s">
        <v>105</v>
      </c>
      <c r="AA17" s="31" t="s">
        <v>102</v>
      </c>
      <c r="AB17" s="31" t="s">
        <v>103</v>
      </c>
    </row>
    <row r="18" spans="1:28" s="27" customFormat="1" ht="15.75" thickBot="1">
      <c r="A18" s="61" t="s">
        <v>41</v>
      </c>
      <c r="B18" s="111">
        <f t="shared" ref="B18:M18" si="1">+B12+B16</f>
        <v>384293152</v>
      </c>
      <c r="C18" s="117">
        <f t="shared" si="1"/>
        <v>1</v>
      </c>
      <c r="D18" s="111">
        <f t="shared" si="1"/>
        <v>479951794</v>
      </c>
      <c r="E18" s="117">
        <f t="shared" si="1"/>
        <v>1</v>
      </c>
      <c r="F18" s="111">
        <f t="shared" si="1"/>
        <v>510626363</v>
      </c>
      <c r="G18" s="117">
        <f t="shared" si="1"/>
        <v>1</v>
      </c>
      <c r="H18" s="111">
        <f t="shared" si="1"/>
        <v>718326106</v>
      </c>
      <c r="I18" s="117">
        <f t="shared" si="1"/>
        <v>1</v>
      </c>
      <c r="J18" s="111">
        <f t="shared" si="1"/>
        <v>738195504</v>
      </c>
      <c r="K18" s="117">
        <f t="shared" si="1"/>
        <v>1.0000000000000002</v>
      </c>
      <c r="L18" s="111">
        <f t="shared" si="1"/>
        <v>983266719</v>
      </c>
      <c r="M18" s="118">
        <f t="shared" si="1"/>
        <v>1</v>
      </c>
      <c r="N18" s="37"/>
      <c r="P18" s="133" t="s">
        <v>120</v>
      </c>
      <c r="Q18" s="144">
        <f>+'Análisis Vertical'!B32</f>
        <v>368558302</v>
      </c>
      <c r="R18" s="150">
        <v>1</v>
      </c>
      <c r="S18" s="144">
        <f>+'Análisis Vertical'!D32</f>
        <v>307226884</v>
      </c>
      <c r="T18" s="150">
        <v>1</v>
      </c>
      <c r="U18" s="144">
        <f>+'Análisis Vertical'!F32</f>
        <v>390274036</v>
      </c>
      <c r="V18" s="150">
        <v>1</v>
      </c>
      <c r="W18" s="144">
        <f>+'Análisis Vertical'!H32</f>
        <v>626147878</v>
      </c>
      <c r="X18" s="150">
        <v>1</v>
      </c>
      <c r="Y18" s="144">
        <f>+'Análisis Vertical'!J32</f>
        <v>543936197</v>
      </c>
      <c r="Z18" s="150">
        <v>1</v>
      </c>
      <c r="AA18" s="144">
        <f>+'Análisis Vertical'!L32</f>
        <v>554583236</v>
      </c>
      <c r="AB18" s="150">
        <v>1</v>
      </c>
    </row>
    <row r="19" spans="1:28" s="27" customFormat="1" ht="15.75" thickBot="1">
      <c r="A19" s="43"/>
      <c r="B19" s="70"/>
      <c r="C19" s="71"/>
      <c r="D19" s="70"/>
      <c r="E19" s="71"/>
      <c r="F19" s="70"/>
      <c r="G19" s="72"/>
      <c r="H19" s="70"/>
      <c r="I19" s="72"/>
      <c r="J19" s="70"/>
      <c r="K19" s="72"/>
      <c r="L19" s="70"/>
      <c r="M19" s="64"/>
      <c r="N19" s="37"/>
      <c r="P19" s="130" t="s">
        <v>130</v>
      </c>
      <c r="Q19" s="146">
        <f>+'Análisis Vertical'!B28</f>
        <v>224858302</v>
      </c>
      <c r="R19" s="151">
        <f>+Q19/Q18</f>
        <v>0.61010239297227931</v>
      </c>
      <c r="S19" s="146">
        <f>+'Análisis Vertical'!D28</f>
        <v>221641200</v>
      </c>
      <c r="T19" s="151">
        <f>+S19/S18</f>
        <v>0.7214251471560672</v>
      </c>
      <c r="U19" s="146">
        <f>+'Análisis Vertical'!F28</f>
        <v>341574036</v>
      </c>
      <c r="V19" s="151">
        <f>+U19/U18</f>
        <v>0.87521588548616647</v>
      </c>
      <c r="W19" s="146">
        <f>+'Análisis Vertical'!H28</f>
        <v>577818700</v>
      </c>
      <c r="X19" s="151">
        <f>+W19/W18</f>
        <v>0.92281507340666891</v>
      </c>
      <c r="Y19" s="146">
        <f>+'Análisis Vertical'!J28</f>
        <v>507599699</v>
      </c>
      <c r="Z19" s="151">
        <f>+Y19/Y18</f>
        <v>0.93319713194229659</v>
      </c>
      <c r="AA19" s="146">
        <f>+'Análisis Vertical'!L28</f>
        <v>518246738</v>
      </c>
      <c r="AB19" s="151">
        <f>+AA19/AA18</f>
        <v>0.93447963147591429</v>
      </c>
    </row>
    <row r="20" spans="1:28" s="27" customFormat="1" ht="15.75" thickBot="1">
      <c r="A20" s="54" t="s">
        <v>42</v>
      </c>
      <c r="B20" s="73"/>
      <c r="C20" s="67"/>
      <c r="D20" s="73"/>
      <c r="E20" s="67"/>
      <c r="F20" s="73"/>
      <c r="G20" s="67"/>
      <c r="H20" s="73"/>
      <c r="I20" s="67"/>
      <c r="J20" s="73"/>
      <c r="K20" s="67"/>
      <c r="L20" s="73"/>
      <c r="M20" s="68"/>
      <c r="N20" s="37"/>
      <c r="P20" s="134" t="s">
        <v>121</v>
      </c>
      <c r="Q20" s="148">
        <f>+'Análisis Vertical'!B30</f>
        <v>143700000</v>
      </c>
      <c r="R20" s="152">
        <f>+Q20/Q18</f>
        <v>0.38989760702772069</v>
      </c>
      <c r="S20" s="148">
        <f>+'Análisis Vertical'!D30</f>
        <v>85585684</v>
      </c>
      <c r="T20" s="152">
        <f>+S20/S18</f>
        <v>0.27857485284393274</v>
      </c>
      <c r="U20" s="148">
        <f>+'Análisis Vertical'!F30</f>
        <v>48700000</v>
      </c>
      <c r="V20" s="152">
        <f>+U20/U18</f>
        <v>0.12478411451383356</v>
      </c>
      <c r="W20" s="148">
        <f>+'Análisis Vertical'!H30</f>
        <v>48329178</v>
      </c>
      <c r="X20" s="152">
        <f>+W20/W18</f>
        <v>7.7184926593331038E-2</v>
      </c>
      <c r="Y20" s="148">
        <f>+'Análisis Vertical'!J30</f>
        <v>36336498</v>
      </c>
      <c r="Z20" s="152">
        <f>+Y20/Y18</f>
        <v>6.6802868057703468E-2</v>
      </c>
      <c r="AA20" s="148">
        <f>+'Análisis Vertical'!L30</f>
        <v>36336498</v>
      </c>
      <c r="AB20" s="152">
        <f>+AA20/AA18</f>
        <v>6.5520368524085715E-2</v>
      </c>
    </row>
    <row r="21" spans="1:28" s="27" customFormat="1" ht="15.75" thickBot="1">
      <c r="A21" s="42" t="s">
        <v>43</v>
      </c>
      <c r="B21" s="55"/>
      <c r="C21" s="56"/>
      <c r="D21" s="55"/>
      <c r="E21" s="56"/>
      <c r="F21" s="55"/>
      <c r="G21" s="56"/>
      <c r="H21" s="57"/>
      <c r="I21" s="56"/>
      <c r="J21" s="55"/>
      <c r="K21" s="56"/>
      <c r="L21" s="55"/>
      <c r="M21" s="74"/>
      <c r="N21" s="37"/>
      <c r="P21" s="37"/>
      <c r="Q21" s="37"/>
      <c r="R21" s="37"/>
      <c r="S21" s="37"/>
      <c r="T21" s="37"/>
      <c r="U21" s="37"/>
      <c r="V21" s="37"/>
      <c r="W21" s="37"/>
      <c r="X21" s="37"/>
      <c r="Y21" s="37"/>
      <c r="Z21" s="37"/>
      <c r="AA21" s="37"/>
      <c r="AB21" s="37"/>
    </row>
    <row r="22" spans="1:28" s="27" customFormat="1" ht="15.75" thickBot="1">
      <c r="A22" s="45" t="s">
        <v>44</v>
      </c>
      <c r="B22" s="46">
        <v>0</v>
      </c>
      <c r="C22" s="47">
        <f t="shared" ref="C22:C27" si="2">+B22/$B$32</f>
        <v>0</v>
      </c>
      <c r="D22" s="46">
        <v>0</v>
      </c>
      <c r="E22" s="47">
        <f t="shared" ref="E22:E27" si="3">+D22/$D$32</f>
        <v>0</v>
      </c>
      <c r="F22" s="46">
        <v>0</v>
      </c>
      <c r="G22" s="47">
        <f t="shared" ref="G22:G27" si="4">+F22/$F$32</f>
        <v>0</v>
      </c>
      <c r="H22" s="46">
        <v>0</v>
      </c>
      <c r="I22" s="47">
        <f t="shared" ref="I22:I27" si="5">+H22/$H$32</f>
        <v>0</v>
      </c>
      <c r="J22" s="46"/>
      <c r="K22" s="47">
        <f t="shared" ref="K22:K27" si="6">+J22/$J$32</f>
        <v>0</v>
      </c>
      <c r="L22" s="46"/>
      <c r="M22" s="47">
        <f t="shared" ref="M22:M27" si="7">+L22/$L$32</f>
        <v>0</v>
      </c>
      <c r="N22" s="37"/>
    </row>
    <row r="23" spans="1:28" s="27" customFormat="1" ht="15.75" thickBot="1">
      <c r="A23" s="45" t="s">
        <v>45</v>
      </c>
      <c r="B23" s="46">
        <v>136896961</v>
      </c>
      <c r="C23" s="47">
        <f t="shared" si="2"/>
        <v>0.37143909188077384</v>
      </c>
      <c r="D23" s="46">
        <v>143226012</v>
      </c>
      <c r="E23" s="47">
        <f t="shared" si="3"/>
        <v>0.46618971014268401</v>
      </c>
      <c r="F23" s="46">
        <v>146347389</v>
      </c>
      <c r="G23" s="47">
        <f t="shared" si="4"/>
        <v>0.37498622890711591</v>
      </c>
      <c r="H23" s="46">
        <v>322074837</v>
      </c>
      <c r="I23" s="47">
        <f t="shared" si="5"/>
        <v>0.51437503554072572</v>
      </c>
      <c r="J23" s="46">
        <v>248104135</v>
      </c>
      <c r="K23" s="47">
        <f t="shared" si="6"/>
        <v>0.45612727442737183</v>
      </c>
      <c r="L23" s="46">
        <v>163796625</v>
      </c>
      <c r="M23" s="47">
        <f t="shared" si="7"/>
        <v>0.29535084071672157</v>
      </c>
      <c r="N23" s="37"/>
    </row>
    <row r="24" spans="1:28" s="27" customFormat="1" ht="15.75" thickBot="1">
      <c r="A24" s="45" t="s">
        <v>46</v>
      </c>
      <c r="B24" s="46">
        <v>14354000</v>
      </c>
      <c r="C24" s="47">
        <f t="shared" si="2"/>
        <v>3.8946348303938082E-2</v>
      </c>
      <c r="D24" s="46">
        <v>14578000</v>
      </c>
      <c r="E24" s="47">
        <f t="shared" si="3"/>
        <v>4.7450274566466652E-2</v>
      </c>
      <c r="F24" s="46">
        <v>77515099</v>
      </c>
      <c r="G24" s="47">
        <f t="shared" si="4"/>
        <v>0.19861710452088593</v>
      </c>
      <c r="H24" s="46">
        <v>83230267</v>
      </c>
      <c r="I24" s="47">
        <f t="shared" si="5"/>
        <v>0.13292429779663009</v>
      </c>
      <c r="J24" s="46">
        <v>135197778</v>
      </c>
      <c r="K24" s="47">
        <f t="shared" si="6"/>
        <v>0.24855447889966403</v>
      </c>
      <c r="L24" s="46">
        <v>135224000</v>
      </c>
      <c r="M24" s="47">
        <f t="shared" si="7"/>
        <v>0.2438299451229716</v>
      </c>
      <c r="N24" s="37"/>
    </row>
    <row r="25" spans="1:28" s="27" customFormat="1" ht="15.75" thickBot="1">
      <c r="A25" s="58" t="s">
        <v>47</v>
      </c>
      <c r="B25" s="48">
        <v>20329310</v>
      </c>
      <c r="C25" s="75">
        <f t="shared" si="2"/>
        <v>5.5159007108731471E-2</v>
      </c>
      <c r="D25" s="48">
        <v>27031759</v>
      </c>
      <c r="E25" s="75">
        <f t="shared" si="3"/>
        <v>8.7986307213922074E-2</v>
      </c>
      <c r="F25" s="48">
        <v>49916491</v>
      </c>
      <c r="G25" s="75">
        <f t="shared" si="4"/>
        <v>0.12790113201381401</v>
      </c>
      <c r="H25" s="48">
        <v>55812268</v>
      </c>
      <c r="I25" s="75">
        <f t="shared" si="5"/>
        <v>8.9135921339016336E-2</v>
      </c>
      <c r="J25" s="46">
        <v>82762293</v>
      </c>
      <c r="K25" s="47">
        <f t="shared" si="6"/>
        <v>0.15215441343389766</v>
      </c>
      <c r="L25" s="46">
        <v>135153397</v>
      </c>
      <c r="M25" s="47">
        <f t="shared" si="7"/>
        <v>0.24370263691129676</v>
      </c>
      <c r="N25" s="37"/>
    </row>
    <row r="26" spans="1:28" s="27" customFormat="1" ht="15.75" thickBot="1">
      <c r="A26" s="45" t="s">
        <v>48</v>
      </c>
      <c r="B26" s="46">
        <v>26264703</v>
      </c>
      <c r="C26" s="47">
        <f t="shared" si="2"/>
        <v>7.1263360118258845E-2</v>
      </c>
      <c r="D26" s="46">
        <v>7754692</v>
      </c>
      <c r="E26" s="47">
        <f t="shared" si="3"/>
        <v>2.5240929110878201E-2</v>
      </c>
      <c r="F26" s="46">
        <v>0</v>
      </c>
      <c r="G26" s="47">
        <f t="shared" si="4"/>
        <v>0</v>
      </c>
      <c r="H26" s="46">
        <v>0</v>
      </c>
      <c r="I26" s="47">
        <f t="shared" si="5"/>
        <v>0</v>
      </c>
      <c r="J26" s="46">
        <v>0</v>
      </c>
      <c r="K26" s="47">
        <f t="shared" si="6"/>
        <v>0</v>
      </c>
      <c r="L26" s="46">
        <v>0</v>
      </c>
      <c r="M26" s="47">
        <f t="shared" si="7"/>
        <v>0</v>
      </c>
      <c r="N26" s="37"/>
    </row>
    <row r="27" spans="1:28" s="27" customFormat="1" ht="16.5" customHeight="1" thickBot="1">
      <c r="A27" s="45" t="s">
        <v>49</v>
      </c>
      <c r="B27" s="46">
        <v>27013328</v>
      </c>
      <c r="C27" s="47">
        <f t="shared" si="2"/>
        <v>7.3294585560577066E-2</v>
      </c>
      <c r="D27" s="46">
        <v>29050737</v>
      </c>
      <c r="E27" s="47">
        <f t="shared" si="3"/>
        <v>9.4557926122116318E-2</v>
      </c>
      <c r="F27" s="46">
        <v>67795057</v>
      </c>
      <c r="G27" s="47">
        <f t="shared" si="4"/>
        <v>0.17371142004435058</v>
      </c>
      <c r="H27" s="46">
        <v>116701328</v>
      </c>
      <c r="I27" s="47">
        <f t="shared" si="5"/>
        <v>0.1863798187302968</v>
      </c>
      <c r="J27" s="46">
        <v>41535493</v>
      </c>
      <c r="K27" s="47">
        <f t="shared" si="6"/>
        <v>7.6360965181362983E-2</v>
      </c>
      <c r="L27" s="46">
        <v>84072716</v>
      </c>
      <c r="M27" s="47">
        <f t="shared" si="7"/>
        <v>0.15159620872492438</v>
      </c>
      <c r="N27" s="37"/>
    </row>
    <row r="28" spans="1:28" s="29" customFormat="1" ht="15.75" thickBot="1">
      <c r="A28" s="59" t="s">
        <v>50</v>
      </c>
      <c r="B28" s="76">
        <f>SUM(B23:B27)</f>
        <v>224858302</v>
      </c>
      <c r="C28" s="77">
        <f>SUM(C22:C27)</f>
        <v>0.61010239297227931</v>
      </c>
      <c r="D28" s="76">
        <f>SUM(D23:D27)</f>
        <v>221641200</v>
      </c>
      <c r="E28" s="77">
        <f>SUM(E22:E27)</f>
        <v>0.7214251471560672</v>
      </c>
      <c r="F28" s="76">
        <f>SUM(F23:F27)</f>
        <v>341574036</v>
      </c>
      <c r="G28" s="77">
        <f>SUM(G22:G27)</f>
        <v>0.87521588548616647</v>
      </c>
      <c r="H28" s="76">
        <f>SUM(H23:H27)</f>
        <v>577818700</v>
      </c>
      <c r="I28" s="77">
        <f>SUM(I22:I27)</f>
        <v>0.92281507340666891</v>
      </c>
      <c r="J28" s="76">
        <f>SUM(J23:J27)</f>
        <v>507599699</v>
      </c>
      <c r="K28" s="77">
        <f>SUM(K22:K27)</f>
        <v>0.93319713194229648</v>
      </c>
      <c r="L28" s="76">
        <f>SUM(L23:L27)</f>
        <v>518246738</v>
      </c>
      <c r="M28" s="77">
        <f>SUM(M22:M27)</f>
        <v>0.9344796314759144</v>
      </c>
      <c r="N28" s="60"/>
    </row>
    <row r="29" spans="1:28" s="27" customFormat="1" ht="15.75" thickBot="1">
      <c r="A29" s="45" t="s">
        <v>51</v>
      </c>
      <c r="B29" s="46">
        <v>143700000</v>
      </c>
      <c r="C29" s="47">
        <f>+B29/B32</f>
        <v>0.38989760702772069</v>
      </c>
      <c r="D29" s="46">
        <v>85585684</v>
      </c>
      <c r="E29" s="47">
        <f>+D29/D32</f>
        <v>0.27857485284393274</v>
      </c>
      <c r="F29" s="46">
        <v>48700000</v>
      </c>
      <c r="G29" s="47">
        <f>+F29/F32</f>
        <v>0.12478411451383356</v>
      </c>
      <c r="H29" s="46">
        <v>48329178</v>
      </c>
      <c r="I29" s="47">
        <f>+H29/H32</f>
        <v>7.7184926593331038E-2</v>
      </c>
      <c r="J29" s="46">
        <v>36336498</v>
      </c>
      <c r="K29" s="47">
        <f>+J29/J32</f>
        <v>6.6802868057703468E-2</v>
      </c>
      <c r="L29" s="46">
        <v>36336498</v>
      </c>
      <c r="M29" s="47">
        <f>+L29/L32</f>
        <v>6.5520368524085715E-2</v>
      </c>
      <c r="N29" s="37"/>
    </row>
    <row r="30" spans="1:28" s="27" customFormat="1" ht="15.75" thickBot="1">
      <c r="A30" s="59" t="s">
        <v>52</v>
      </c>
      <c r="B30" s="76">
        <v>143700000</v>
      </c>
      <c r="C30" s="77">
        <f>SUM(C29)</f>
        <v>0.38989760702772069</v>
      </c>
      <c r="D30" s="76">
        <v>85585684</v>
      </c>
      <c r="E30" s="77">
        <f>SUM(E29)</f>
        <v>0.27857485284393274</v>
      </c>
      <c r="F30" s="76">
        <f>+F29</f>
        <v>48700000</v>
      </c>
      <c r="G30" s="77">
        <f>SUM(G29)</f>
        <v>0.12478411451383356</v>
      </c>
      <c r="H30" s="76">
        <f>+H29</f>
        <v>48329178</v>
      </c>
      <c r="I30" s="77">
        <f>SUM(I29)</f>
        <v>7.7184926593331038E-2</v>
      </c>
      <c r="J30" s="76">
        <f>+J29</f>
        <v>36336498</v>
      </c>
      <c r="K30" s="77">
        <f>SUM(K29)</f>
        <v>6.6802868057703468E-2</v>
      </c>
      <c r="L30" s="76">
        <f>+L29</f>
        <v>36336498</v>
      </c>
      <c r="M30" s="77">
        <f>SUM(M29)</f>
        <v>6.5520368524085715E-2</v>
      </c>
      <c r="N30" s="37"/>
    </row>
    <row r="31" spans="1:28" s="27" customFormat="1" ht="15.75" thickBot="1">
      <c r="A31" s="51"/>
      <c r="B31" s="46"/>
      <c r="C31" s="78"/>
      <c r="D31" s="46"/>
      <c r="E31" s="78"/>
      <c r="F31" s="46"/>
      <c r="G31" s="78"/>
      <c r="H31" s="46"/>
      <c r="I31" s="78"/>
      <c r="J31" s="46"/>
      <c r="K31" s="78"/>
      <c r="L31" s="46"/>
      <c r="M31" s="79"/>
      <c r="N31" s="37"/>
    </row>
    <row r="32" spans="1:28" s="27" customFormat="1" ht="36.75" customHeight="1" thickBot="1">
      <c r="A32" s="61" t="s">
        <v>53</v>
      </c>
      <c r="B32" s="80">
        <v>368558302</v>
      </c>
      <c r="C32" s="81">
        <f>+C28+C30</f>
        <v>1</v>
      </c>
      <c r="D32" s="80">
        <v>307226884</v>
      </c>
      <c r="E32" s="81">
        <f t="shared" ref="E32:M32" si="8">+E28+E30</f>
        <v>1</v>
      </c>
      <c r="F32" s="80">
        <f t="shared" si="8"/>
        <v>390274036</v>
      </c>
      <c r="G32" s="81">
        <f t="shared" si="8"/>
        <v>1</v>
      </c>
      <c r="H32" s="80">
        <f t="shared" si="8"/>
        <v>626147878</v>
      </c>
      <c r="I32" s="81">
        <f t="shared" si="8"/>
        <v>1</v>
      </c>
      <c r="J32" s="80">
        <f t="shared" si="8"/>
        <v>543936197</v>
      </c>
      <c r="K32" s="81">
        <f t="shared" si="8"/>
        <v>1</v>
      </c>
      <c r="L32" s="80">
        <f t="shared" si="8"/>
        <v>554583236</v>
      </c>
      <c r="M32" s="81">
        <f t="shared" si="8"/>
        <v>1</v>
      </c>
      <c r="N32" s="37"/>
    </row>
    <row r="33" spans="1:28" s="27" customFormat="1">
      <c r="A33" s="43"/>
      <c r="B33" s="70"/>
      <c r="C33" s="72"/>
      <c r="D33" s="70"/>
      <c r="E33" s="72"/>
      <c r="F33" s="70"/>
      <c r="G33" s="72"/>
      <c r="H33" s="70"/>
      <c r="I33" s="72"/>
      <c r="J33" s="70"/>
      <c r="K33" s="72"/>
      <c r="L33" s="70"/>
      <c r="M33" s="64"/>
      <c r="N33" s="37"/>
    </row>
    <row r="34" spans="1:28" s="27" customFormat="1" ht="15.75" thickBot="1">
      <c r="A34" s="43" t="s">
        <v>54</v>
      </c>
      <c r="B34" s="82"/>
      <c r="C34" s="83"/>
      <c r="D34" s="82"/>
      <c r="E34" s="83"/>
      <c r="F34" s="82"/>
      <c r="G34" s="83"/>
      <c r="H34" s="82"/>
      <c r="I34" s="83"/>
      <c r="J34" s="82"/>
      <c r="K34" s="64"/>
      <c r="L34" s="82"/>
      <c r="M34" s="64"/>
      <c r="N34" s="37"/>
    </row>
    <row r="35" spans="1:28" s="27" customFormat="1" ht="16.5" customHeight="1" thickBot="1">
      <c r="A35" s="45" t="s">
        <v>55</v>
      </c>
      <c r="B35" s="46">
        <v>200000000</v>
      </c>
      <c r="C35" s="47">
        <f>+B35/$B$40</f>
        <v>12.710639930513473</v>
      </c>
      <c r="D35" s="46">
        <v>340000000</v>
      </c>
      <c r="E35" s="47">
        <f>+D35/$D$40</f>
        <v>1.9684479789278801</v>
      </c>
      <c r="F35" s="46">
        <v>340000000</v>
      </c>
      <c r="G35" s="47">
        <f>+F35/$F$40</f>
        <v>2.8250388544626976</v>
      </c>
      <c r="H35" s="46">
        <v>340000000</v>
      </c>
      <c r="I35" s="47">
        <f>+H35/$H$40</f>
        <v>3.6885065344442665</v>
      </c>
      <c r="J35" s="48">
        <v>340000000</v>
      </c>
      <c r="K35" s="75">
        <f>+J35/$J$40</f>
        <v>1.7502399102748776</v>
      </c>
      <c r="L35" s="48">
        <v>340000000</v>
      </c>
      <c r="M35" s="47">
        <f>+L35/$L$40</f>
        <v>0.79312596235484067</v>
      </c>
      <c r="N35" s="37"/>
    </row>
    <row r="36" spans="1:28" s="27" customFormat="1" ht="15.75" thickBot="1">
      <c r="A36" s="45" t="s">
        <v>56</v>
      </c>
      <c r="B36" s="46"/>
      <c r="C36" s="47">
        <f>+B36/$B$40</f>
        <v>0</v>
      </c>
      <c r="D36" s="46"/>
      <c r="E36" s="47">
        <f>+D36/$D$40</f>
        <v>0</v>
      </c>
      <c r="F36" s="46"/>
      <c r="G36" s="47">
        <f>+F36/$F$40</f>
        <v>0</v>
      </c>
      <c r="H36" s="46"/>
      <c r="I36" s="47">
        <f>+H36/$H$40</f>
        <v>0</v>
      </c>
      <c r="J36" s="48"/>
      <c r="K36" s="75">
        <f>+J36/$J$40</f>
        <v>0</v>
      </c>
      <c r="L36" s="48">
        <v>10303086</v>
      </c>
      <c r="M36" s="47">
        <f>+L36/$L$40</f>
        <v>2.4034249996984371E-2</v>
      </c>
      <c r="N36" s="37"/>
    </row>
    <row r="37" spans="1:28" s="27" customFormat="1" ht="15.75" thickBot="1">
      <c r="A37" s="45" t="s">
        <v>57</v>
      </c>
      <c r="B37" s="46">
        <v>-184265151</v>
      </c>
      <c r="C37" s="47">
        <f>+B37/$B$40</f>
        <v>-11.710639930513473</v>
      </c>
      <c r="D37" s="46">
        <v>-167275090</v>
      </c>
      <c r="E37" s="47">
        <f>+D37/$D$40</f>
        <v>-0.96844797892788015</v>
      </c>
      <c r="F37" s="46">
        <v>219647673</v>
      </c>
      <c r="G37" s="47">
        <f>+F37/$F$40</f>
        <v>1.8250388544626976</v>
      </c>
      <c r="H37" s="46">
        <v>247821771</v>
      </c>
      <c r="I37" s="47">
        <f>+H37/$H$40</f>
        <v>2.6885065344442665</v>
      </c>
      <c r="J37" s="48">
        <v>248771771</v>
      </c>
      <c r="K37" s="75">
        <f>+J37/$J$40</f>
        <v>1.2806184769234188</v>
      </c>
      <c r="L37" s="48">
        <v>156044000</v>
      </c>
      <c r="M37" s="47">
        <f>+L37/$L$40</f>
        <v>0.36400749314617281</v>
      </c>
      <c r="N37" s="37"/>
    </row>
    <row r="38" spans="1:28" s="27" customFormat="1" ht="15.75" thickBot="1">
      <c r="A38" s="45" t="s">
        <v>58</v>
      </c>
      <c r="B38" s="46"/>
      <c r="C38" s="47">
        <f>+B38/$B$40</f>
        <v>0</v>
      </c>
      <c r="D38" s="46"/>
      <c r="E38" s="47">
        <f>+D38/$D$40</f>
        <v>0</v>
      </c>
      <c r="F38" s="46"/>
      <c r="G38" s="47">
        <f>+F38/$F$40</f>
        <v>0</v>
      </c>
      <c r="H38" s="46"/>
      <c r="I38" s="47">
        <f>+H38/$H$40</f>
        <v>0</v>
      </c>
      <c r="J38" s="48">
        <v>103030854</v>
      </c>
      <c r="K38" s="75">
        <f>+J38/$J$40</f>
        <v>0.53037856664854122</v>
      </c>
      <c r="L38" s="48">
        <v>234424397</v>
      </c>
      <c r="M38" s="47">
        <f>+L38/$L$40</f>
        <v>0.54684728079434775</v>
      </c>
      <c r="N38" s="37"/>
    </row>
    <row r="39" spans="1:28" s="27" customFormat="1" ht="15.75" thickBot="1">
      <c r="A39" s="45" t="s">
        <v>59</v>
      </c>
      <c r="B39" s="46">
        <v>0</v>
      </c>
      <c r="C39" s="47">
        <f>+B39/$B$40</f>
        <v>0</v>
      </c>
      <c r="D39" s="46">
        <v>0</v>
      </c>
      <c r="E39" s="47">
        <f>+D39/$D$40</f>
        <v>0</v>
      </c>
      <c r="F39" s="46">
        <v>0</v>
      </c>
      <c r="G39" s="47">
        <f>+F39/$F$40</f>
        <v>0</v>
      </c>
      <c r="H39" s="46"/>
      <c r="I39" s="47">
        <f>+H39/$H$40</f>
        <v>0</v>
      </c>
      <c r="J39" s="46"/>
      <c r="K39" s="47">
        <f>+J39/$J$40</f>
        <v>0</v>
      </c>
      <c r="L39" s="46"/>
      <c r="M39" s="47">
        <f>+L39/$L$40</f>
        <v>0</v>
      </c>
      <c r="N39" s="37"/>
    </row>
    <row r="40" spans="1:28" s="27" customFormat="1" ht="15.75" thickBot="1">
      <c r="A40" s="59" t="s">
        <v>60</v>
      </c>
      <c r="B40" s="76">
        <f>+B35+B37+B38+B39</f>
        <v>15734849</v>
      </c>
      <c r="C40" s="77">
        <f>SUM(C35:C39)</f>
        <v>1</v>
      </c>
      <c r="D40" s="76">
        <f>+D35+D37+D38+D39</f>
        <v>172724910</v>
      </c>
      <c r="E40" s="77">
        <f>SUM(E35:E39)</f>
        <v>1</v>
      </c>
      <c r="F40" s="76">
        <f>+F35-F37+F39</f>
        <v>120352327</v>
      </c>
      <c r="G40" s="77">
        <f>SUM(G35:G39)</f>
        <v>4.6500777089253953</v>
      </c>
      <c r="H40" s="76">
        <f>+H35-H37+H39</f>
        <v>92178229</v>
      </c>
      <c r="I40" s="77">
        <f>SUM(I35:I39)</f>
        <v>6.3770130688885329</v>
      </c>
      <c r="J40" s="76">
        <f>+J35-J37+J38+J39</f>
        <v>194259083</v>
      </c>
      <c r="K40" s="77">
        <f>SUM(K35:K39)</f>
        <v>3.5612369538468376</v>
      </c>
      <c r="L40" s="76">
        <f>+L35-L37+L38+L39+L36</f>
        <v>428683483</v>
      </c>
      <c r="M40" s="77">
        <f>SUM(M35:M39)</f>
        <v>1.7280149862923455</v>
      </c>
      <c r="N40" s="37"/>
    </row>
    <row r="41" spans="1:28" s="27" customFormat="1" ht="15.75" thickBot="1">
      <c r="A41" s="37"/>
      <c r="B41" s="52"/>
      <c r="C41" s="83"/>
      <c r="D41" s="52"/>
      <c r="E41" s="83"/>
      <c r="F41" s="52"/>
      <c r="G41" s="83"/>
      <c r="H41" s="52"/>
      <c r="I41" s="83"/>
      <c r="J41" s="52"/>
      <c r="K41" s="64"/>
      <c r="L41" s="52"/>
      <c r="M41" s="64"/>
      <c r="N41" s="37"/>
    </row>
    <row r="42" spans="1:28" s="29" customFormat="1" ht="16.5" customHeight="1" thickBot="1">
      <c r="A42" s="61" t="s">
        <v>61</v>
      </c>
      <c r="B42" s="80">
        <v>384293151</v>
      </c>
      <c r="C42" s="84"/>
      <c r="D42" s="80">
        <v>479951794</v>
      </c>
      <c r="E42" s="84"/>
      <c r="F42" s="80">
        <f>+F32+F40</f>
        <v>510626363</v>
      </c>
      <c r="G42" s="85"/>
      <c r="H42" s="80">
        <f>+H32+H40</f>
        <v>718326107</v>
      </c>
      <c r="I42" s="85"/>
      <c r="J42" s="80">
        <f>+J32+J40</f>
        <v>738195280</v>
      </c>
      <c r="K42" s="85"/>
      <c r="L42" s="80">
        <f>+L32+L40</f>
        <v>983266719</v>
      </c>
      <c r="M42" s="86"/>
      <c r="N42" s="60"/>
    </row>
    <row r="43" spans="1:28" s="27" customFormat="1">
      <c r="A43" s="37"/>
      <c r="B43" s="63"/>
      <c r="C43" s="63"/>
      <c r="D43" s="63"/>
      <c r="E43" s="63"/>
      <c r="F43" s="37"/>
      <c r="G43" s="37"/>
      <c r="H43" s="37"/>
      <c r="I43" s="37"/>
      <c r="J43" s="37"/>
      <c r="K43" s="37"/>
      <c r="L43" s="37"/>
      <c r="M43" s="37"/>
      <c r="N43" s="37"/>
    </row>
    <row r="44" spans="1:28" s="27" customFormat="1" ht="15.75" thickBot="1">
      <c r="A44" s="37"/>
      <c r="B44" s="37"/>
      <c r="C44" s="37"/>
      <c r="D44" s="37"/>
      <c r="E44" s="37"/>
      <c r="F44" s="37"/>
      <c r="G44" s="37"/>
      <c r="H44" s="37"/>
      <c r="I44" s="37"/>
      <c r="J44" s="37"/>
      <c r="K44" s="37"/>
      <c r="L44" s="37"/>
      <c r="M44" s="37"/>
      <c r="N44" s="37"/>
    </row>
    <row r="45" spans="1:28" s="27" customFormat="1" ht="15.75" thickBot="1">
      <c r="A45" s="436" t="s">
        <v>100</v>
      </c>
      <c r="B45" s="437"/>
      <c r="C45" s="437"/>
      <c r="D45" s="437"/>
      <c r="E45" s="437"/>
      <c r="F45" s="437"/>
      <c r="G45" s="437"/>
      <c r="H45" s="437"/>
      <c r="I45" s="437"/>
      <c r="J45" s="437"/>
      <c r="K45" s="437"/>
      <c r="L45" s="437"/>
      <c r="M45" s="437"/>
      <c r="P45" s="442" t="s">
        <v>122</v>
      </c>
      <c r="Q45" s="443"/>
      <c r="R45" s="443"/>
      <c r="S45" s="443"/>
      <c r="T45" s="443"/>
      <c r="U45" s="443"/>
      <c r="V45" s="443"/>
      <c r="W45" s="443"/>
      <c r="X45" s="443"/>
      <c r="Y45" s="443"/>
      <c r="Z45" s="443"/>
      <c r="AA45" s="443"/>
      <c r="AB45" s="444"/>
    </row>
    <row r="46" spans="1:28" s="27" customFormat="1" ht="15.75" thickBot="1">
      <c r="A46" s="436" t="s">
        <v>159</v>
      </c>
      <c r="B46" s="437"/>
      <c r="C46" s="437"/>
      <c r="D46" s="437"/>
      <c r="E46" s="437"/>
      <c r="F46" s="437"/>
      <c r="G46" s="437"/>
      <c r="H46" s="437"/>
      <c r="I46" s="437"/>
      <c r="J46" s="437"/>
      <c r="K46" s="437"/>
      <c r="L46" s="437"/>
      <c r="M46" s="437"/>
      <c r="P46" s="449"/>
      <c r="Q46" s="445">
        <v>2015</v>
      </c>
      <c r="R46" s="446"/>
      <c r="S46" s="453">
        <v>2016</v>
      </c>
      <c r="T46" s="446"/>
      <c r="U46" s="445">
        <v>2017</v>
      </c>
      <c r="V46" s="446"/>
      <c r="W46" s="445">
        <v>2018</v>
      </c>
      <c r="X46" s="446"/>
      <c r="Y46" s="445">
        <v>2019</v>
      </c>
      <c r="Z46" s="446"/>
      <c r="AA46" s="445">
        <v>2020</v>
      </c>
      <c r="AB46" s="446"/>
    </row>
    <row r="47" spans="1:28" s="27" customFormat="1" ht="15.75" thickBot="1">
      <c r="A47" s="436" t="s">
        <v>98</v>
      </c>
      <c r="B47" s="437"/>
      <c r="C47" s="437"/>
      <c r="D47" s="437"/>
      <c r="E47" s="437"/>
      <c r="F47" s="437"/>
      <c r="G47" s="437"/>
      <c r="H47" s="437"/>
      <c r="I47" s="437"/>
      <c r="J47" s="437"/>
      <c r="K47" s="437"/>
      <c r="L47" s="437"/>
      <c r="M47" s="437"/>
      <c r="P47" s="450"/>
      <c r="Q47" s="31" t="s">
        <v>109</v>
      </c>
      <c r="R47" s="31" t="s">
        <v>113</v>
      </c>
      <c r="S47" s="129" t="s">
        <v>110</v>
      </c>
      <c r="T47" s="31" t="s">
        <v>114</v>
      </c>
      <c r="U47" s="31" t="s">
        <v>111</v>
      </c>
      <c r="V47" s="31" t="s">
        <v>115</v>
      </c>
      <c r="W47" s="31" t="s">
        <v>112</v>
      </c>
      <c r="X47" s="31" t="s">
        <v>116</v>
      </c>
      <c r="Y47" s="31" t="s">
        <v>104</v>
      </c>
      <c r="Z47" s="31" t="s">
        <v>105</v>
      </c>
      <c r="AA47" s="31" t="s">
        <v>102</v>
      </c>
      <c r="AB47" s="31" t="s">
        <v>103</v>
      </c>
    </row>
    <row r="48" spans="1:28" s="27" customFormat="1" ht="15.75" thickBot="1">
      <c r="A48" s="436" t="s">
        <v>161</v>
      </c>
      <c r="B48" s="437"/>
      <c r="C48" s="437"/>
      <c r="D48" s="437"/>
      <c r="E48" s="437"/>
      <c r="F48" s="437"/>
      <c r="G48" s="437"/>
      <c r="H48" s="437"/>
      <c r="I48" s="437"/>
      <c r="J48" s="437"/>
      <c r="K48" s="437"/>
      <c r="L48" s="437"/>
      <c r="M48" s="437"/>
      <c r="P48" s="131" t="s">
        <v>123</v>
      </c>
      <c r="Q48" s="153">
        <f>+'Análisis Vertical'!B51</f>
        <v>904879380</v>
      </c>
      <c r="R48" s="154">
        <f t="shared" ref="R48:R53" si="9">+Q48/$Q$48</f>
        <v>1</v>
      </c>
      <c r="S48" s="153">
        <f>+'Análisis Vertical'!D51</f>
        <v>1043977031</v>
      </c>
      <c r="T48" s="154">
        <f t="shared" ref="T48:T53" si="10">+S48/$S$48</f>
        <v>1</v>
      </c>
      <c r="U48" s="153">
        <f>+'Análisis Vertical'!F51</f>
        <v>1262392367</v>
      </c>
      <c r="V48" s="154">
        <f t="shared" ref="V48:V53" si="11">+U48/$U$48</f>
        <v>1</v>
      </c>
      <c r="W48" s="153">
        <f>+'Análisis Vertical'!H51</f>
        <v>1860941447</v>
      </c>
      <c r="X48" s="154">
        <f t="shared" ref="X48:X53" si="12">+W48/$W$48</f>
        <v>1</v>
      </c>
      <c r="Y48" s="153">
        <f>+'Análisis Vertical'!J51</f>
        <v>2869401050</v>
      </c>
      <c r="Z48" s="154">
        <f t="shared" ref="Z48:Z53" si="13">+Y48/$Y$48</f>
        <v>1</v>
      </c>
      <c r="AA48" s="153">
        <f>+'Análisis Vertical'!L51</f>
        <v>3417084270</v>
      </c>
      <c r="AB48" s="154">
        <f t="shared" ref="AB48:AB53" si="14">+AA48/$AA$48</f>
        <v>1</v>
      </c>
    </row>
    <row r="49" spans="1:28" s="27" customFormat="1" ht="15.75" thickBot="1">
      <c r="A49" s="39"/>
      <c r="B49" s="40">
        <v>2015</v>
      </c>
      <c r="C49" s="40" t="s">
        <v>162</v>
      </c>
      <c r="D49" s="40">
        <v>2016</v>
      </c>
      <c r="E49" s="40" t="s">
        <v>162</v>
      </c>
      <c r="F49" s="40">
        <v>2017</v>
      </c>
      <c r="G49" s="40" t="s">
        <v>162</v>
      </c>
      <c r="H49" s="40">
        <v>2018</v>
      </c>
      <c r="I49" s="40" t="s">
        <v>162</v>
      </c>
      <c r="J49" s="40">
        <v>2019</v>
      </c>
      <c r="K49" s="40" t="s">
        <v>162</v>
      </c>
      <c r="L49" s="40">
        <v>2020</v>
      </c>
      <c r="M49" s="40" t="s">
        <v>162</v>
      </c>
      <c r="P49" s="35" t="s">
        <v>125</v>
      </c>
      <c r="Q49" s="146">
        <f>+B52</f>
        <v>439612898</v>
      </c>
      <c r="R49" s="147">
        <f>+Q49/$Q$48</f>
        <v>0.48582485988353497</v>
      </c>
      <c r="S49" s="146">
        <f>+D52</f>
        <v>618771061</v>
      </c>
      <c r="T49" s="147">
        <f t="shared" si="10"/>
        <v>0.59270562725627629</v>
      </c>
      <c r="U49" s="146">
        <f>+F52</f>
        <v>0</v>
      </c>
      <c r="V49" s="147">
        <f t="shared" si="11"/>
        <v>0</v>
      </c>
      <c r="W49" s="146">
        <f>+H52</f>
        <v>0</v>
      </c>
      <c r="X49" s="147">
        <f t="shared" si="12"/>
        <v>0</v>
      </c>
      <c r="Y49" s="146">
        <f>+J52</f>
        <v>1504556463</v>
      </c>
      <c r="Z49" s="147">
        <f t="shared" si="13"/>
        <v>0.52434512875082417</v>
      </c>
      <c r="AA49" s="146">
        <f>+L52</f>
        <v>1769012091</v>
      </c>
      <c r="AB49" s="147">
        <f t="shared" si="14"/>
        <v>0.51769636076314851</v>
      </c>
    </row>
    <row r="50" spans="1:28" s="27" customFormat="1" ht="15.75" thickBot="1">
      <c r="A50" s="101" t="s">
        <v>62</v>
      </c>
      <c r="B50" s="102"/>
      <c r="C50" s="102"/>
      <c r="D50" s="102"/>
      <c r="E50" s="102"/>
      <c r="F50" s="102"/>
      <c r="G50" s="102"/>
      <c r="H50" s="102"/>
      <c r="I50" s="102"/>
      <c r="J50" s="102"/>
      <c r="K50" s="102"/>
      <c r="L50" s="103"/>
      <c r="M50" s="121"/>
      <c r="P50" s="132" t="s">
        <v>124</v>
      </c>
      <c r="Q50" s="137">
        <f>+'Análisis Vertical'!B53</f>
        <v>465266482</v>
      </c>
      <c r="R50" s="139">
        <f>+Q50/$Q$48</f>
        <v>0.51417514011646503</v>
      </c>
      <c r="S50" s="137">
        <f>+'Análisis Vertical'!D53</f>
        <v>425205970</v>
      </c>
      <c r="T50" s="139">
        <f t="shared" si="10"/>
        <v>0.40729437274372371</v>
      </c>
      <c r="U50" s="137">
        <f>+'Análisis Vertical'!F53</f>
        <v>1262392367</v>
      </c>
      <c r="V50" s="139">
        <f t="shared" si="11"/>
        <v>1</v>
      </c>
      <c r="W50" s="137">
        <f>+'Análisis Vertical'!H53</f>
        <v>1860941447</v>
      </c>
      <c r="X50" s="139">
        <f t="shared" si="12"/>
        <v>1</v>
      </c>
      <c r="Y50" s="137">
        <f>+'Análisis Vertical'!J53</f>
        <v>1364844587</v>
      </c>
      <c r="Z50" s="139">
        <f t="shared" si="13"/>
        <v>0.47565487124917583</v>
      </c>
      <c r="AA50" s="137">
        <f>+'Análisis Vertical'!L53</f>
        <v>1648072179</v>
      </c>
      <c r="AB50" s="139">
        <f t="shared" si="14"/>
        <v>0.48230363923685149</v>
      </c>
    </row>
    <row r="51" spans="1:28" s="27" customFormat="1" ht="15.75" thickBot="1">
      <c r="A51" s="45" t="s">
        <v>63</v>
      </c>
      <c r="B51" s="122">
        <v>904879380</v>
      </c>
      <c r="C51" s="47">
        <f>+B51/$B$51</f>
        <v>1</v>
      </c>
      <c r="D51" s="122">
        <v>1043977031</v>
      </c>
      <c r="E51" s="47">
        <f>+D51/$D$51</f>
        <v>1</v>
      </c>
      <c r="F51" s="122">
        <v>1262392367</v>
      </c>
      <c r="G51" s="47">
        <f>+F51/$F$51</f>
        <v>1</v>
      </c>
      <c r="H51" s="122">
        <v>1860941447</v>
      </c>
      <c r="I51" s="47">
        <f>+H51/$H$51</f>
        <v>1</v>
      </c>
      <c r="J51" s="122">
        <v>2869401050</v>
      </c>
      <c r="K51" s="47">
        <f>+J51/$J$51</f>
        <v>1</v>
      </c>
      <c r="L51" s="122">
        <v>3417084270</v>
      </c>
      <c r="M51" s="47">
        <f>+L51/$L$51</f>
        <v>1</v>
      </c>
      <c r="O51" s="37"/>
      <c r="P51" s="35" t="s">
        <v>163</v>
      </c>
      <c r="Q51" s="146">
        <f>+'Análisis Vertical'!B55</f>
        <v>418591551</v>
      </c>
      <c r="R51" s="147">
        <f>+Q51/$Q$48</f>
        <v>0.46259375586611334</v>
      </c>
      <c r="S51" s="146">
        <f>+'Análisis Vertical'!D55</f>
        <v>379747737</v>
      </c>
      <c r="T51" s="147">
        <f t="shared" si="10"/>
        <v>0.36375104597488028</v>
      </c>
      <c r="U51" s="146">
        <f>+'Análisis Vertical'!F55</f>
        <v>1291765553</v>
      </c>
      <c r="V51" s="147">
        <f t="shared" si="11"/>
        <v>1.0232678735770588</v>
      </c>
      <c r="W51" s="146">
        <f>+'Análisis Vertical'!H55</f>
        <v>1878936621</v>
      </c>
      <c r="X51" s="147">
        <f t="shared" si="12"/>
        <v>1.0096699302543934</v>
      </c>
      <c r="Y51" s="146">
        <f>+'Análisis Vertical'!J55</f>
        <v>1180030203</v>
      </c>
      <c r="Z51" s="147">
        <f t="shared" si="13"/>
        <v>0.41124617383129486</v>
      </c>
      <c r="AA51" s="146">
        <f>+'Análisis Vertical'!L55</f>
        <v>1343458823</v>
      </c>
      <c r="AB51" s="147">
        <f t="shared" si="14"/>
        <v>0.39315940633796542</v>
      </c>
    </row>
    <row r="52" spans="1:28" s="27" customFormat="1" ht="15.75" thickBot="1">
      <c r="A52" s="45" t="s">
        <v>64</v>
      </c>
      <c r="B52" s="122">
        <v>439612898</v>
      </c>
      <c r="C52" s="47">
        <f>+B52/$B$51</f>
        <v>0.48582485988353497</v>
      </c>
      <c r="D52" s="122">
        <v>618771061</v>
      </c>
      <c r="E52" s="47">
        <f>+D52/$D$51</f>
        <v>0.59270562725627629</v>
      </c>
      <c r="F52" s="122">
        <v>0</v>
      </c>
      <c r="G52" s="47">
        <f>+F52/$F$51</f>
        <v>0</v>
      </c>
      <c r="H52" s="122">
        <v>0</v>
      </c>
      <c r="I52" s="47">
        <f>+H52/$H$51</f>
        <v>0</v>
      </c>
      <c r="J52" s="122">
        <v>1504556463</v>
      </c>
      <c r="K52" s="47">
        <f>+J52/$J$51</f>
        <v>0.52434512875082417</v>
      </c>
      <c r="L52" s="122">
        <v>1769012091</v>
      </c>
      <c r="M52" s="47">
        <f>+L52/$L$51</f>
        <v>0.51769636076314851</v>
      </c>
      <c r="O52" s="37"/>
      <c r="P52" s="132" t="s">
        <v>126</v>
      </c>
      <c r="Q52" s="137">
        <f>+'Análisis Vertical'!B58</f>
        <v>32217792</v>
      </c>
      <c r="R52" s="139">
        <f t="shared" si="9"/>
        <v>3.560451559853204E-2</v>
      </c>
      <c r="S52" s="137">
        <f>+'Análisis Vertical'!D58</f>
        <v>31568062</v>
      </c>
      <c r="T52" s="139">
        <f t="shared" si="10"/>
        <v>3.0238272550653464E-2</v>
      </c>
      <c r="U52" s="137">
        <f>+'Análisis Vertical'!F58</f>
        <v>-50317583</v>
      </c>
      <c r="V52" s="139">
        <f t="shared" si="11"/>
        <v>-3.9858909413066815E-2</v>
      </c>
      <c r="W52" s="137">
        <f>+'Análisis Vertical'!H58</f>
        <v>-28371111</v>
      </c>
      <c r="X52" s="139">
        <f t="shared" si="12"/>
        <v>-1.5245568873613249E-2</v>
      </c>
      <c r="Y52" s="137">
        <f>+'Análisis Vertical'!J58</f>
        <v>185411589</v>
      </c>
      <c r="Z52" s="139">
        <f t="shared" si="13"/>
        <v>6.4616826218837548E-2</v>
      </c>
      <c r="AA52" s="137">
        <f>+'Análisis Vertical'!L58</f>
        <v>331240975</v>
      </c>
      <c r="AB52" s="139">
        <f t="shared" si="14"/>
        <v>9.693672992150118E-2</v>
      </c>
    </row>
    <row r="53" spans="1:28" s="27" customFormat="1" ht="15.75" thickBot="1">
      <c r="A53" s="106" t="s">
        <v>65</v>
      </c>
      <c r="B53" s="125">
        <f>+B51-B52</f>
        <v>465266482</v>
      </c>
      <c r="C53" s="123">
        <f>+B53/$B$51</f>
        <v>0.51417514011646503</v>
      </c>
      <c r="D53" s="125">
        <f>+D51-D52</f>
        <v>425205970</v>
      </c>
      <c r="E53" s="123">
        <f>+D53/$D$51</f>
        <v>0.40729437274372371</v>
      </c>
      <c r="F53" s="125">
        <f>+F51-F52</f>
        <v>1262392367</v>
      </c>
      <c r="G53" s="123">
        <f>+F53/$F$51</f>
        <v>1</v>
      </c>
      <c r="H53" s="125">
        <f>+H51-H52</f>
        <v>1860941447</v>
      </c>
      <c r="I53" s="123">
        <f>+H53/$H$51</f>
        <v>1</v>
      </c>
      <c r="J53" s="125">
        <f>+J51-J52</f>
        <v>1364844587</v>
      </c>
      <c r="K53" s="123">
        <f>+J53/$J$51</f>
        <v>0.47565487124917583</v>
      </c>
      <c r="L53" s="125">
        <f>+L51-L52</f>
        <v>1648072179</v>
      </c>
      <c r="M53" s="123">
        <f>+L53/$L$51</f>
        <v>0.48230363923685149</v>
      </c>
      <c r="O53" s="37"/>
      <c r="P53" s="36" t="s">
        <v>127</v>
      </c>
      <c r="Q53" s="141">
        <f>+'Análisis Vertical'!B63</f>
        <v>17863792</v>
      </c>
      <c r="R53" s="143">
        <f t="shared" si="9"/>
        <v>1.9741627884149598E-2</v>
      </c>
      <c r="S53" s="141">
        <f>+'Análisis Vertical'!D63</f>
        <v>16990062</v>
      </c>
      <c r="T53" s="143">
        <f t="shared" si="10"/>
        <v>1.627436379871848E-2</v>
      </c>
      <c r="U53" s="141">
        <f>+'Análisis Vertical'!F63</f>
        <v>-52372583</v>
      </c>
      <c r="V53" s="143">
        <f t="shared" si="11"/>
        <v>-4.1486770966827305E-2</v>
      </c>
      <c r="W53" s="141">
        <f>+'Análisis Vertical'!H63</f>
        <v>-29761111</v>
      </c>
      <c r="X53" s="143">
        <f t="shared" si="12"/>
        <v>-1.5992502637832862E-2</v>
      </c>
      <c r="Y53" s="141">
        <f>+'Análisis Vertical'!J63</f>
        <v>103030854</v>
      </c>
      <c r="Z53" s="143">
        <f t="shared" si="13"/>
        <v>3.5906745764939345E-2</v>
      </c>
      <c r="AA53" s="141">
        <f>+'Análisis Vertical'!L63</f>
        <v>234424396</v>
      </c>
      <c r="AB53" s="143">
        <f t="shared" si="14"/>
        <v>6.86036332372921E-2</v>
      </c>
    </row>
    <row r="54" spans="1:28" s="27" customFormat="1" ht="15.75" thickBot="1">
      <c r="A54" s="45" t="s">
        <v>66</v>
      </c>
      <c r="B54" s="122">
        <v>1563514</v>
      </c>
      <c r="C54" s="47"/>
      <c r="D54" s="122">
        <v>4958700</v>
      </c>
      <c r="E54" s="47"/>
      <c r="F54" s="122">
        <v>8381414</v>
      </c>
      <c r="G54" s="47"/>
      <c r="H54" s="122">
        <v>8895908</v>
      </c>
      <c r="I54" s="47"/>
      <c r="J54" s="124">
        <v>597205</v>
      </c>
      <c r="K54" s="47"/>
      <c r="L54" s="124">
        <v>26627619</v>
      </c>
      <c r="M54" s="47"/>
      <c r="O54" s="37"/>
      <c r="P54" s="37"/>
      <c r="Q54" s="37"/>
      <c r="R54" s="37"/>
      <c r="S54" s="37"/>
      <c r="T54" s="37"/>
      <c r="U54" s="37"/>
      <c r="V54" s="37"/>
      <c r="W54" s="37"/>
      <c r="X54" s="37"/>
      <c r="Y54" s="37"/>
      <c r="Z54" s="37"/>
      <c r="AA54" s="37"/>
    </row>
    <row r="55" spans="1:28" s="27" customFormat="1" ht="15.75" thickBot="1">
      <c r="A55" s="45" t="s">
        <v>67</v>
      </c>
      <c r="B55" s="122">
        <v>418591551</v>
      </c>
      <c r="C55" s="47">
        <f t="shared" ref="C55:C67" si="15">+B55/$B$51</f>
        <v>0.46259375586611334</v>
      </c>
      <c r="D55" s="122">
        <v>379747737</v>
      </c>
      <c r="E55" s="47">
        <f t="shared" ref="E55:E67" si="16">+D55/$D$51</f>
        <v>0.36375104597488028</v>
      </c>
      <c r="F55" s="122">
        <v>1291765553</v>
      </c>
      <c r="G55" s="47">
        <f t="shared" ref="G55:G67" si="17">+F55/$F$51</f>
        <v>1.0232678735770588</v>
      </c>
      <c r="H55" s="122">
        <v>1878936621</v>
      </c>
      <c r="I55" s="47">
        <f t="shared" ref="I55:I67" si="18">+H55/$H$51</f>
        <v>1.0096699302543934</v>
      </c>
      <c r="J55" s="124">
        <v>1180030203</v>
      </c>
      <c r="K55" s="47">
        <f t="shared" ref="K55:K67" si="19">+J55/$J$51</f>
        <v>0.41124617383129486</v>
      </c>
      <c r="L55" s="124">
        <v>1343458823</v>
      </c>
      <c r="M55" s="47">
        <f t="shared" ref="M55:M67" si="20">+L55/$L$51</f>
        <v>0.39315940633796542</v>
      </c>
      <c r="O55" s="37"/>
      <c r="P55" s="449"/>
      <c r="Q55" s="37"/>
      <c r="R55" s="37"/>
      <c r="S55" s="37"/>
      <c r="T55" s="37"/>
      <c r="U55" s="37"/>
      <c r="V55" s="37"/>
      <c r="W55" s="37"/>
      <c r="X55" s="37"/>
      <c r="Y55" s="37"/>
      <c r="Z55" s="37"/>
      <c r="AA55" s="37"/>
    </row>
    <row r="56" spans="1:28" s="27" customFormat="1" ht="15.75" thickBot="1">
      <c r="A56" s="45" t="s">
        <v>68</v>
      </c>
      <c r="B56" s="122">
        <v>16020653</v>
      </c>
      <c r="C56" s="47">
        <f t="shared" si="15"/>
        <v>1.7704738724403247E-2</v>
      </c>
      <c r="D56" s="122">
        <v>18848871</v>
      </c>
      <c r="E56" s="47">
        <f t="shared" si="16"/>
        <v>1.8054871362394944E-2</v>
      </c>
      <c r="F56" s="122">
        <v>0</v>
      </c>
      <c r="G56" s="47">
        <f t="shared" si="17"/>
        <v>0</v>
      </c>
      <c r="H56" s="122">
        <v>0</v>
      </c>
      <c r="I56" s="47">
        <v>0</v>
      </c>
      <c r="J56" s="124">
        <v>0</v>
      </c>
      <c r="K56" s="47">
        <f t="shared" si="19"/>
        <v>0</v>
      </c>
      <c r="L56" s="124">
        <v>0</v>
      </c>
      <c r="M56" s="47">
        <f t="shared" si="20"/>
        <v>0</v>
      </c>
      <c r="O56" s="37"/>
      <c r="P56" s="450"/>
      <c r="Q56" s="37"/>
      <c r="R56" s="37"/>
      <c r="S56" s="37"/>
      <c r="T56" s="37"/>
      <c r="U56" s="37"/>
      <c r="V56" s="37"/>
      <c r="W56" s="37"/>
      <c r="X56" s="37"/>
      <c r="Y56" s="37"/>
      <c r="Z56" s="37"/>
      <c r="AA56" s="37"/>
    </row>
    <row r="57" spans="1:28" s="27" customFormat="1" ht="15.75" thickBot="1">
      <c r="A57" s="45" t="s">
        <v>69</v>
      </c>
      <c r="B57" s="122">
        <v>0</v>
      </c>
      <c r="C57" s="47">
        <f t="shared" si="15"/>
        <v>0</v>
      </c>
      <c r="D57" s="122">
        <v>0</v>
      </c>
      <c r="E57" s="47">
        <f t="shared" si="16"/>
        <v>0</v>
      </c>
      <c r="F57" s="122">
        <v>29325811</v>
      </c>
      <c r="G57" s="47">
        <f t="shared" si="17"/>
        <v>2.3230345625180733E-2</v>
      </c>
      <c r="H57" s="122">
        <v>19271845</v>
      </c>
      <c r="I57" s="47">
        <f t="shared" si="18"/>
        <v>1.0355965272882656E-2</v>
      </c>
      <c r="J57" s="124">
        <v>0</v>
      </c>
      <c r="K57" s="47">
        <f t="shared" si="19"/>
        <v>0</v>
      </c>
      <c r="L57" s="124">
        <v>0</v>
      </c>
      <c r="M57" s="47">
        <f t="shared" si="20"/>
        <v>0</v>
      </c>
      <c r="O57" s="37"/>
      <c r="P57" s="131" t="s">
        <v>123</v>
      </c>
      <c r="Q57" s="386">
        <f>+AA48</f>
        <v>3417084270</v>
      </c>
      <c r="R57" s="37"/>
      <c r="S57" s="37"/>
      <c r="T57" s="37"/>
      <c r="U57" s="37"/>
      <c r="V57" s="37"/>
      <c r="W57" s="37"/>
      <c r="X57" s="37"/>
      <c r="Y57" s="37"/>
      <c r="Z57" s="37"/>
      <c r="AA57" s="37"/>
    </row>
    <row r="58" spans="1:28" s="27" customFormat="1" ht="15.75" thickBot="1">
      <c r="A58" s="106" t="s">
        <v>70</v>
      </c>
      <c r="B58" s="125">
        <f>+B53+B54-B55-B56-B57</f>
        <v>32217792</v>
      </c>
      <c r="C58" s="123">
        <f t="shared" si="15"/>
        <v>3.560451559853204E-2</v>
      </c>
      <c r="D58" s="125">
        <f>+D53+D54-D55-D56-D57</f>
        <v>31568062</v>
      </c>
      <c r="E58" s="123">
        <f t="shared" si="16"/>
        <v>3.0238272550653464E-2</v>
      </c>
      <c r="F58" s="125">
        <f t="shared" ref="F58:L58" si="21">+F53+F54-F55-F56-F57</f>
        <v>-50317583</v>
      </c>
      <c r="G58" s="123">
        <f t="shared" si="17"/>
        <v>-3.9858909413066815E-2</v>
      </c>
      <c r="H58" s="125">
        <v>-28371111</v>
      </c>
      <c r="I58" s="123">
        <f t="shared" si="18"/>
        <v>-1.5245568873613249E-2</v>
      </c>
      <c r="J58" s="125">
        <f t="shared" si="21"/>
        <v>185411589</v>
      </c>
      <c r="K58" s="123">
        <f t="shared" si="19"/>
        <v>6.4616826218837548E-2</v>
      </c>
      <c r="L58" s="125">
        <f t="shared" si="21"/>
        <v>331240975</v>
      </c>
      <c r="M58" s="123">
        <f t="shared" si="20"/>
        <v>9.693672992150118E-2</v>
      </c>
      <c r="O58" s="37"/>
      <c r="P58" s="35" t="s">
        <v>125</v>
      </c>
      <c r="Q58" s="147">
        <v>0.51769636076314851</v>
      </c>
      <c r="R58" s="37"/>
      <c r="S58" s="37"/>
      <c r="T58" s="37"/>
      <c r="U58" s="37"/>
      <c r="V58" s="37"/>
      <c r="W58" s="37"/>
      <c r="X58" s="37"/>
      <c r="Y58" s="37"/>
      <c r="Z58" s="37"/>
      <c r="AA58" s="37"/>
    </row>
    <row r="59" spans="1:28" s="27" customFormat="1" ht="15.75" thickBot="1">
      <c r="A59" s="58" t="s">
        <v>71</v>
      </c>
      <c r="B59" s="122"/>
      <c r="C59" s="387">
        <f t="shared" si="15"/>
        <v>0</v>
      </c>
      <c r="D59" s="122"/>
      <c r="E59" s="47">
        <f t="shared" si="16"/>
        <v>0</v>
      </c>
      <c r="F59" s="122"/>
      <c r="G59" s="47">
        <f t="shared" si="17"/>
        <v>0</v>
      </c>
      <c r="H59" s="122"/>
      <c r="I59" s="47">
        <f t="shared" si="18"/>
        <v>0</v>
      </c>
      <c r="J59" s="122">
        <v>152220</v>
      </c>
      <c r="K59" s="47">
        <f t="shared" si="19"/>
        <v>5.3049398584418861E-5</v>
      </c>
      <c r="L59" s="122">
        <v>4955622</v>
      </c>
      <c r="M59" s="387">
        <f t="shared" si="20"/>
        <v>1.450248694042304E-3</v>
      </c>
      <c r="O59" s="37"/>
      <c r="P59" s="35" t="s">
        <v>163</v>
      </c>
      <c r="Q59" s="147">
        <v>0.39315940633796542</v>
      </c>
      <c r="R59" s="37"/>
      <c r="S59" s="37"/>
      <c r="T59" s="37"/>
      <c r="U59" s="37"/>
      <c r="V59" s="37"/>
      <c r="W59" s="37"/>
      <c r="X59" s="37"/>
      <c r="Y59" s="37"/>
      <c r="Z59" s="37"/>
      <c r="AA59" s="37"/>
    </row>
    <row r="60" spans="1:28" s="27" customFormat="1" ht="15.75" thickBot="1">
      <c r="A60" s="58" t="s">
        <v>72</v>
      </c>
      <c r="B60" s="127"/>
      <c r="C60" s="128">
        <f t="shared" si="15"/>
        <v>0</v>
      </c>
      <c r="D60" s="127"/>
      <c r="E60" s="128">
        <f t="shared" si="16"/>
        <v>0</v>
      </c>
      <c r="F60" s="127"/>
      <c r="G60" s="128">
        <f t="shared" si="17"/>
        <v>0</v>
      </c>
      <c r="H60" s="127"/>
      <c r="I60" s="128">
        <f t="shared" si="18"/>
        <v>0</v>
      </c>
      <c r="J60" s="127">
        <v>22743955</v>
      </c>
      <c r="K60" s="128">
        <f t="shared" si="19"/>
        <v>7.9263771789586535E-3</v>
      </c>
      <c r="L60" s="127">
        <v>22040201</v>
      </c>
      <c r="M60" s="128">
        <f t="shared" si="20"/>
        <v>6.4500021827088271E-3</v>
      </c>
      <c r="O60" s="37"/>
      <c r="P60" s="35" t="s">
        <v>516</v>
      </c>
      <c r="Q60" s="147">
        <f>100%-Q58-Q59</f>
        <v>8.9144232898886067E-2</v>
      </c>
      <c r="R60" s="37"/>
      <c r="S60" s="37"/>
      <c r="T60" s="37"/>
      <c r="U60" s="37"/>
      <c r="V60" s="37"/>
      <c r="W60" s="37"/>
      <c r="X60" s="37"/>
      <c r="Y60" s="37"/>
      <c r="Z60" s="37"/>
      <c r="AA60" s="37"/>
    </row>
    <row r="61" spans="1:28" s="27" customFormat="1" ht="15.75" thickBot="1">
      <c r="A61" s="106" t="s">
        <v>73</v>
      </c>
      <c r="B61" s="125"/>
      <c r="C61" s="123">
        <f t="shared" si="15"/>
        <v>0</v>
      </c>
      <c r="D61" s="125"/>
      <c r="E61" s="123">
        <f t="shared" si="16"/>
        <v>0</v>
      </c>
      <c r="F61" s="125"/>
      <c r="G61" s="123">
        <f t="shared" si="17"/>
        <v>0</v>
      </c>
      <c r="H61" s="125"/>
      <c r="I61" s="123">
        <f t="shared" si="18"/>
        <v>0</v>
      </c>
      <c r="J61" s="125">
        <f>+J58+J59-J60</f>
        <v>162819854</v>
      </c>
      <c r="K61" s="123">
        <f t="shared" si="19"/>
        <v>5.6743498438463318E-2</v>
      </c>
      <c r="L61" s="125">
        <f>+L58+L59-L60</f>
        <v>314156396</v>
      </c>
      <c r="M61" s="123">
        <f t="shared" si="20"/>
        <v>9.1936976432834647E-2</v>
      </c>
      <c r="O61" s="37"/>
      <c r="P61" s="132"/>
      <c r="Q61" s="139"/>
      <c r="R61" s="37"/>
      <c r="S61" s="37"/>
      <c r="T61" s="37"/>
      <c r="U61" s="37"/>
      <c r="V61" s="37"/>
      <c r="W61" s="37"/>
      <c r="X61" s="37"/>
      <c r="Y61" s="37"/>
      <c r="Z61" s="37"/>
      <c r="AA61" s="37"/>
    </row>
    <row r="62" spans="1:28" s="27" customFormat="1" ht="15.75" thickBot="1">
      <c r="A62" s="45" t="s">
        <v>74</v>
      </c>
      <c r="B62" s="122">
        <v>14354000</v>
      </c>
      <c r="C62" s="47">
        <f t="shared" si="15"/>
        <v>1.5862887714382441E-2</v>
      </c>
      <c r="D62" s="122">
        <v>14578000</v>
      </c>
      <c r="E62" s="47">
        <f t="shared" si="16"/>
        <v>1.3963908751934984E-2</v>
      </c>
      <c r="F62" s="122">
        <v>2055000</v>
      </c>
      <c r="G62" s="47">
        <f t="shared" si="17"/>
        <v>1.6278615537604877E-3</v>
      </c>
      <c r="H62" s="122">
        <v>1390000</v>
      </c>
      <c r="I62" s="47">
        <f t="shared" si="18"/>
        <v>7.4693376421961118E-4</v>
      </c>
      <c r="J62" s="122">
        <v>59789000</v>
      </c>
      <c r="K62" s="47">
        <f t="shared" si="19"/>
        <v>2.0836752673523976E-2</v>
      </c>
      <c r="L62" s="122">
        <v>79732000</v>
      </c>
      <c r="M62" s="47">
        <f t="shared" si="20"/>
        <v>2.3333343195542554E-2</v>
      </c>
      <c r="O62" s="37"/>
      <c r="P62" s="36"/>
      <c r="Q62" s="143"/>
      <c r="R62" s="37"/>
      <c r="S62" s="37"/>
      <c r="T62" s="37"/>
      <c r="U62" s="37"/>
      <c r="V62" s="37"/>
      <c r="W62" s="37"/>
      <c r="X62" s="37"/>
      <c r="Y62" s="37"/>
      <c r="Z62" s="37"/>
      <c r="AA62" s="37"/>
    </row>
    <row r="63" spans="1:28" s="27" customFormat="1" ht="15.75" thickBot="1">
      <c r="A63" s="106" t="s">
        <v>75</v>
      </c>
      <c r="B63" s="125">
        <f>+B58-B62</f>
        <v>17863792</v>
      </c>
      <c r="C63" s="123">
        <f t="shared" si="15"/>
        <v>1.9741627884149598E-2</v>
      </c>
      <c r="D63" s="125">
        <f>+D58-D62</f>
        <v>16990062</v>
      </c>
      <c r="E63" s="123">
        <f t="shared" si="16"/>
        <v>1.627436379871848E-2</v>
      </c>
      <c r="F63" s="125">
        <f>+F58-F62</f>
        <v>-52372583</v>
      </c>
      <c r="G63" s="123">
        <f t="shared" si="17"/>
        <v>-4.1486770966827305E-2</v>
      </c>
      <c r="H63" s="125">
        <f>+H58-H62</f>
        <v>-29761111</v>
      </c>
      <c r="I63" s="123">
        <f t="shared" si="18"/>
        <v>-1.5992502637832862E-2</v>
      </c>
      <c r="J63" s="125">
        <f>+J61-J62</f>
        <v>103030854</v>
      </c>
      <c r="K63" s="123">
        <f t="shared" si="19"/>
        <v>3.5906745764939345E-2</v>
      </c>
      <c r="L63" s="125">
        <f>+L61-L62</f>
        <v>234424396</v>
      </c>
      <c r="M63" s="123">
        <f t="shared" si="20"/>
        <v>6.86036332372921E-2</v>
      </c>
      <c r="O63" s="37"/>
      <c r="P63" s="37"/>
      <c r="Q63" s="37"/>
      <c r="R63" s="37"/>
      <c r="S63" s="37"/>
      <c r="T63" s="37"/>
      <c r="U63" s="37"/>
      <c r="V63" s="37"/>
      <c r="W63" s="37"/>
      <c r="X63" s="37"/>
      <c r="Y63" s="37"/>
      <c r="Z63" s="37"/>
      <c r="AA63" s="37"/>
    </row>
    <row r="64" spans="1:28" s="27" customFormat="1" ht="15.75" thickBot="1">
      <c r="A64" s="106" t="s">
        <v>76</v>
      </c>
      <c r="B64" s="125">
        <f>+B63</f>
        <v>17863792</v>
      </c>
      <c r="C64" s="123">
        <f t="shared" si="15"/>
        <v>1.9741627884149598E-2</v>
      </c>
      <c r="D64" s="125">
        <f>+D63</f>
        <v>16990062</v>
      </c>
      <c r="E64" s="123">
        <f t="shared" si="16"/>
        <v>1.627436379871848E-2</v>
      </c>
      <c r="F64" s="125">
        <f t="shared" ref="F64:L64" si="22">+F63</f>
        <v>-52372583</v>
      </c>
      <c r="G64" s="123">
        <f t="shared" si="17"/>
        <v>-4.1486770966827305E-2</v>
      </c>
      <c r="H64" s="125">
        <f t="shared" si="22"/>
        <v>-29761111</v>
      </c>
      <c r="I64" s="123">
        <f t="shared" si="18"/>
        <v>-1.5992502637832862E-2</v>
      </c>
      <c r="J64" s="125">
        <f t="shared" si="22"/>
        <v>103030854</v>
      </c>
      <c r="K64" s="123">
        <f t="shared" si="19"/>
        <v>3.5906745764939345E-2</v>
      </c>
      <c r="L64" s="125">
        <f t="shared" si="22"/>
        <v>234424396</v>
      </c>
      <c r="M64" s="123">
        <f t="shared" si="20"/>
        <v>6.86036332372921E-2</v>
      </c>
      <c r="O64" s="37"/>
      <c r="P64" s="37"/>
      <c r="Q64" s="37"/>
      <c r="R64" s="37"/>
      <c r="S64" s="37"/>
      <c r="T64" s="37"/>
      <c r="U64" s="37"/>
      <c r="V64" s="37"/>
      <c r="W64" s="37"/>
      <c r="X64" s="37"/>
      <c r="Y64" s="37"/>
      <c r="Z64" s="37"/>
      <c r="AA64" s="37"/>
    </row>
    <row r="65" spans="1:27" s="27" customFormat="1" ht="15.75" thickBot="1">
      <c r="A65" s="45" t="s">
        <v>77</v>
      </c>
      <c r="B65" s="122">
        <v>202128943</v>
      </c>
      <c r="C65" s="47">
        <f t="shared" si="15"/>
        <v>0.22337667038008976</v>
      </c>
      <c r="D65" s="122">
        <v>184265151</v>
      </c>
      <c r="E65" s="47">
        <f t="shared" si="16"/>
        <v>0.17650307001821383</v>
      </c>
      <c r="F65" s="122">
        <v>167275090</v>
      </c>
      <c r="G65" s="47">
        <f t="shared" si="17"/>
        <v>0.13250641747582748</v>
      </c>
      <c r="H65" s="122">
        <v>219647673</v>
      </c>
      <c r="I65" s="47">
        <f t="shared" si="18"/>
        <v>0.11803040517695558</v>
      </c>
      <c r="J65" s="122">
        <f>+J63</f>
        <v>103030854</v>
      </c>
      <c r="K65" s="47">
        <f t="shared" si="19"/>
        <v>3.5906745764939345E-2</v>
      </c>
      <c r="L65" s="122">
        <f>+L63</f>
        <v>234424396</v>
      </c>
      <c r="M65" s="47">
        <f t="shared" si="20"/>
        <v>6.86036332372921E-2</v>
      </c>
      <c r="O65" s="37"/>
      <c r="P65" s="37"/>
      <c r="Q65" s="37"/>
      <c r="R65" s="37"/>
      <c r="S65" s="37"/>
      <c r="T65" s="37"/>
      <c r="U65" s="37"/>
      <c r="V65" s="37"/>
      <c r="W65" s="37"/>
      <c r="X65" s="37"/>
      <c r="Y65" s="37"/>
      <c r="Z65" s="37"/>
      <c r="AA65" s="37"/>
    </row>
    <row r="66" spans="1:27" s="27" customFormat="1" ht="15.75" thickBot="1">
      <c r="A66" s="45" t="s">
        <v>78</v>
      </c>
      <c r="B66" s="122">
        <v>0</v>
      </c>
      <c r="C66" s="47">
        <f t="shared" si="15"/>
        <v>0</v>
      </c>
      <c r="D66" s="122">
        <v>0</v>
      </c>
      <c r="E66" s="47">
        <f t="shared" si="16"/>
        <v>0</v>
      </c>
      <c r="F66" s="122">
        <v>0</v>
      </c>
      <c r="G66" s="47">
        <f t="shared" si="17"/>
        <v>0</v>
      </c>
      <c r="H66" s="122">
        <v>0</v>
      </c>
      <c r="I66" s="47">
        <f t="shared" si="18"/>
        <v>0</v>
      </c>
      <c r="J66" s="122">
        <v>0</v>
      </c>
      <c r="K66" s="47">
        <f t="shared" si="19"/>
        <v>0</v>
      </c>
      <c r="L66" s="122">
        <v>0</v>
      </c>
      <c r="M66" s="47">
        <f t="shared" si="20"/>
        <v>0</v>
      </c>
      <c r="O66" s="37"/>
      <c r="P66" s="37"/>
      <c r="Q66" s="37"/>
      <c r="R66" s="37"/>
      <c r="S66" s="37"/>
      <c r="T66" s="37"/>
      <c r="U66" s="37"/>
      <c r="V66" s="37"/>
      <c r="W66" s="37"/>
      <c r="X66" s="37"/>
      <c r="Y66" s="37"/>
      <c r="Z66" s="37"/>
      <c r="AA66" s="37"/>
    </row>
    <row r="67" spans="1:27" s="27" customFormat="1" ht="15.75" thickBot="1">
      <c r="A67" s="106" t="s">
        <v>79</v>
      </c>
      <c r="B67" s="125">
        <f>+B64-B65-B66</f>
        <v>-184265151</v>
      </c>
      <c r="C67" s="123">
        <f t="shared" si="15"/>
        <v>-0.20363504249594017</v>
      </c>
      <c r="D67" s="125">
        <f>+D64-D65-D66</f>
        <v>-167275089</v>
      </c>
      <c r="E67" s="123">
        <f t="shared" si="16"/>
        <v>-0.16022870621949536</v>
      </c>
      <c r="F67" s="125">
        <f>+F64-F65-F66</f>
        <v>-219647673</v>
      </c>
      <c r="G67" s="123">
        <f t="shared" si="17"/>
        <v>-0.17399318844265477</v>
      </c>
      <c r="H67" s="126">
        <f>+H64-H65-H66</f>
        <v>-249408784</v>
      </c>
      <c r="I67" s="123">
        <f t="shared" si="18"/>
        <v>-0.13402290781478843</v>
      </c>
      <c r="J67" s="125">
        <f>+J65-J66</f>
        <v>103030854</v>
      </c>
      <c r="K67" s="123">
        <f t="shared" si="19"/>
        <v>3.5906745764939345E-2</v>
      </c>
      <c r="L67" s="125">
        <f>+L65-L66</f>
        <v>234424396</v>
      </c>
      <c r="M67" s="123">
        <f t="shared" si="20"/>
        <v>6.86036332372921E-2</v>
      </c>
      <c r="O67" s="37"/>
      <c r="P67" s="37"/>
      <c r="Q67" s="37"/>
      <c r="R67" s="37"/>
      <c r="S67" s="37"/>
      <c r="T67" s="37"/>
      <c r="U67" s="37"/>
      <c r="V67" s="37"/>
      <c r="W67" s="37"/>
      <c r="X67" s="37"/>
      <c r="Y67" s="37"/>
      <c r="Z67" s="37"/>
      <c r="AA67" s="37"/>
    </row>
    <row r="68" spans="1:27" s="27" customFormat="1">
      <c r="O68" s="37"/>
      <c r="P68" s="37"/>
      <c r="Q68" s="37"/>
      <c r="R68" s="37"/>
      <c r="S68" s="37"/>
      <c r="T68" s="37"/>
      <c r="U68" s="37"/>
      <c r="V68" s="37"/>
      <c r="W68" s="37"/>
      <c r="X68" s="37"/>
      <c r="Y68" s="37"/>
      <c r="Z68" s="37"/>
      <c r="AA68" s="37"/>
    </row>
    <row r="69" spans="1:27" s="27" customFormat="1">
      <c r="O69" s="37"/>
      <c r="P69" s="37"/>
      <c r="Q69" s="37"/>
      <c r="R69" s="37"/>
      <c r="S69" s="37"/>
      <c r="T69" s="37"/>
      <c r="U69" s="37"/>
      <c r="V69" s="37"/>
      <c r="W69" s="37"/>
      <c r="X69" s="37"/>
      <c r="Y69" s="37"/>
      <c r="Z69" s="37"/>
      <c r="AA69" s="37"/>
    </row>
    <row r="70" spans="1:27" s="27" customFormat="1">
      <c r="O70" s="37"/>
      <c r="P70" s="37"/>
      <c r="Q70" s="37"/>
      <c r="R70" s="37"/>
      <c r="S70" s="37"/>
      <c r="T70" s="37"/>
      <c r="U70" s="37"/>
      <c r="V70" s="37"/>
      <c r="W70" s="37"/>
      <c r="X70" s="37"/>
      <c r="Y70" s="37"/>
      <c r="Z70" s="37"/>
      <c r="AA70" s="37"/>
    </row>
    <row r="71" spans="1:27" s="27" customFormat="1">
      <c r="O71" s="37"/>
      <c r="P71" s="37"/>
      <c r="Q71" s="37"/>
      <c r="R71" s="37"/>
      <c r="S71" s="37"/>
      <c r="T71" s="37"/>
      <c r="U71" s="37"/>
      <c r="V71" s="37"/>
      <c r="W71" s="37"/>
      <c r="X71" s="37"/>
      <c r="Y71" s="37"/>
      <c r="Z71" s="37"/>
      <c r="AA71" s="37"/>
    </row>
    <row r="72" spans="1:27" s="27" customFormat="1">
      <c r="O72" s="37"/>
      <c r="P72" s="37"/>
      <c r="Q72" s="37"/>
      <c r="R72" s="37"/>
      <c r="S72" s="37"/>
      <c r="T72" s="37"/>
      <c r="U72" s="37"/>
      <c r="V72" s="37"/>
      <c r="W72" s="37"/>
      <c r="X72" s="37"/>
      <c r="Y72" s="37"/>
      <c r="Z72" s="37"/>
      <c r="AA72" s="37"/>
    </row>
    <row r="73" spans="1:27" s="27" customFormat="1">
      <c r="O73" s="37"/>
      <c r="P73" s="37"/>
      <c r="Q73" s="37"/>
      <c r="R73" s="37"/>
      <c r="S73" s="37"/>
      <c r="T73" s="37"/>
      <c r="U73" s="37"/>
      <c r="V73" s="37"/>
      <c r="W73" s="37"/>
      <c r="X73" s="37"/>
      <c r="Y73" s="37"/>
      <c r="Z73" s="37"/>
      <c r="AA73" s="37"/>
    </row>
    <row r="74" spans="1:27" s="27" customFormat="1">
      <c r="O74" s="37"/>
      <c r="P74" s="37"/>
      <c r="Q74" s="37"/>
      <c r="R74" s="37"/>
      <c r="S74" s="37"/>
      <c r="T74" s="37"/>
      <c r="U74" s="37"/>
      <c r="V74" s="37"/>
      <c r="W74" s="37"/>
      <c r="X74" s="37"/>
      <c r="Y74" s="37"/>
      <c r="Z74" s="37"/>
      <c r="AA74" s="37"/>
    </row>
    <row r="75" spans="1:27" s="27" customFormat="1">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row>
    <row r="76" spans="1:27" s="27" customFormat="1">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row>
    <row r="77" spans="1:27" s="27" customFormat="1">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row>
    <row r="78" spans="1:27" s="27" customFormat="1">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row>
    <row r="79" spans="1:27" s="27" customFormat="1">
      <c r="A79" s="37"/>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row>
    <row r="80" spans="1:27" s="27" customFormat="1">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row>
    <row r="81" spans="1:27" s="27" customFormat="1">
      <c r="A81" s="37"/>
      <c r="B81" s="37"/>
      <c r="C81" s="37"/>
      <c r="D81" s="37"/>
      <c r="E81" s="37"/>
      <c r="F81" s="37"/>
      <c r="G81" s="37"/>
      <c r="H81" s="37"/>
      <c r="I81" s="37"/>
      <c r="J81" s="37"/>
      <c r="K81" s="37"/>
      <c r="L81" s="37"/>
      <c r="M81" s="37"/>
      <c r="N81" s="37"/>
      <c r="O81" s="37"/>
      <c r="P81" s="37"/>
      <c r="Q81" s="37"/>
      <c r="R81" s="37"/>
      <c r="S81" s="37"/>
      <c r="T81" s="37"/>
      <c r="U81" s="37"/>
      <c r="V81" s="37"/>
      <c r="W81" s="37"/>
      <c r="X81" s="37"/>
      <c r="Y81" s="37"/>
      <c r="Z81" s="37"/>
      <c r="AA81" s="37"/>
    </row>
    <row r="82" spans="1:27" s="27" customFormat="1">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row>
    <row r="83" spans="1:27" s="27" customFormat="1">
      <c r="A83" s="37"/>
      <c r="B83" s="37"/>
      <c r="C83" s="37"/>
      <c r="D83" s="37"/>
      <c r="E83" s="37"/>
      <c r="F83" s="37"/>
      <c r="G83" s="37"/>
      <c r="H83" s="37"/>
      <c r="I83" s="37"/>
      <c r="J83" s="37"/>
      <c r="K83" s="37"/>
      <c r="L83" s="37"/>
      <c r="M83" s="37"/>
      <c r="N83" s="37"/>
      <c r="O83" s="37"/>
      <c r="P83" s="37"/>
      <c r="Q83" s="37"/>
      <c r="R83" s="37"/>
      <c r="S83" s="37"/>
      <c r="T83" s="37"/>
      <c r="U83" s="38"/>
      <c r="V83" s="38"/>
      <c r="W83" s="38"/>
      <c r="X83" s="38"/>
      <c r="Y83" s="38"/>
      <c r="Z83" s="38"/>
      <c r="AA83" s="38"/>
    </row>
    <row r="84" spans="1:27">
      <c r="O84" s="37"/>
      <c r="P84" s="37"/>
      <c r="Q84" s="37"/>
      <c r="R84" s="37"/>
      <c r="S84" s="37"/>
      <c r="T84" s="37"/>
    </row>
    <row r="85" spans="1:27">
      <c r="O85" s="37"/>
      <c r="P85" s="37"/>
      <c r="Q85" s="37"/>
      <c r="R85" s="37"/>
      <c r="S85" s="37"/>
      <c r="T85" s="37"/>
    </row>
    <row r="86" spans="1:27">
      <c r="O86" s="37"/>
      <c r="P86" s="37"/>
      <c r="Q86" s="37"/>
      <c r="R86" s="37"/>
      <c r="S86" s="37"/>
      <c r="T86" s="37"/>
    </row>
  </sheetData>
  <mergeCells count="41">
    <mergeCell ref="P55:P56"/>
    <mergeCell ref="Q16:R16"/>
    <mergeCell ref="S16:T16"/>
    <mergeCell ref="U16:V16"/>
    <mergeCell ref="W46:X46"/>
    <mergeCell ref="P15:AB15"/>
    <mergeCell ref="Y46:Z46"/>
    <mergeCell ref="AA46:AB46"/>
    <mergeCell ref="P45:AB45"/>
    <mergeCell ref="U46:V46"/>
    <mergeCell ref="W16:X16"/>
    <mergeCell ref="Y16:Z16"/>
    <mergeCell ref="AA16:AB16"/>
    <mergeCell ref="S46:T46"/>
    <mergeCell ref="P16:P17"/>
    <mergeCell ref="AA2:AB2"/>
    <mergeCell ref="P1:AB1"/>
    <mergeCell ref="Q2:R2"/>
    <mergeCell ref="S2:T2"/>
    <mergeCell ref="U2:V2"/>
    <mergeCell ref="W2:X2"/>
    <mergeCell ref="Y2:Z2"/>
    <mergeCell ref="P2:P3"/>
    <mergeCell ref="A46:M46"/>
    <mergeCell ref="A47:M47"/>
    <mergeCell ref="A48:M48"/>
    <mergeCell ref="P46:P47"/>
    <mergeCell ref="Q46:R46"/>
    <mergeCell ref="A1:M1"/>
    <mergeCell ref="A2:M2"/>
    <mergeCell ref="A3:M3"/>
    <mergeCell ref="A4:M4"/>
    <mergeCell ref="A45:M45"/>
    <mergeCell ref="P8:AB8"/>
    <mergeCell ref="AA9:AB9"/>
    <mergeCell ref="Y9:Z9"/>
    <mergeCell ref="W9:X9"/>
    <mergeCell ref="S9:T9"/>
    <mergeCell ref="Q9:R9"/>
    <mergeCell ref="P9:P10"/>
    <mergeCell ref="U9:V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87"/>
  <sheetViews>
    <sheetView topLeftCell="F1" workbookViewId="0">
      <selection activeCell="U11" sqref="U11"/>
    </sheetView>
  </sheetViews>
  <sheetFormatPr baseColWidth="10" defaultRowHeight="15"/>
  <cols>
    <col min="1" max="1" width="39.7109375" style="66" bestFit="1" customWidth="1"/>
    <col min="2" max="2" width="4.42578125" style="66" bestFit="1" customWidth="1"/>
    <col min="3" max="5" width="4.85546875" style="66" customWidth="1"/>
    <col min="6" max="6" width="4.5703125" style="66" customWidth="1"/>
    <col min="7" max="7" width="5.140625" style="66" customWidth="1"/>
    <col min="8" max="8" width="4.28515625" style="38" customWidth="1"/>
    <col min="9" max="10" width="7.42578125" style="38" customWidth="1"/>
    <col min="11" max="11" width="9.140625" style="38" customWidth="1"/>
    <col min="12" max="12" width="9.42578125" style="38" customWidth="1"/>
    <col min="13" max="13" width="9.28515625" style="38" customWidth="1"/>
    <col min="14" max="14" width="5.85546875" style="38" customWidth="1"/>
    <col min="15" max="15" width="36.28515625" style="38" bestFit="1" customWidth="1"/>
    <col min="16" max="16" width="4.42578125" style="38" bestFit="1" customWidth="1"/>
    <col min="17" max="21" width="4.85546875" style="38" bestFit="1" customWidth="1"/>
    <col min="22" max="22" width="4.85546875" style="7" customWidth="1"/>
    <col min="23" max="23" width="7.5703125" customWidth="1"/>
    <col min="24" max="24" width="7" customWidth="1"/>
    <col min="25" max="25" width="7.140625" customWidth="1"/>
    <col min="26" max="26" width="6.5703125" customWidth="1"/>
    <col min="27" max="27" width="7.85546875" customWidth="1"/>
    <col min="28" max="28" width="16.7109375" bestFit="1" customWidth="1"/>
    <col min="29" max="29" width="0" hidden="1" customWidth="1"/>
  </cols>
  <sheetData>
    <row r="1" spans="1:29" ht="15.75" customHeight="1" thickBot="1">
      <c r="A1" s="433" t="s">
        <v>100</v>
      </c>
      <c r="B1" s="434"/>
      <c r="C1" s="434"/>
      <c r="D1" s="434"/>
      <c r="E1" s="434"/>
      <c r="F1" s="434"/>
      <c r="G1" s="435"/>
      <c r="I1" s="430" t="s">
        <v>100</v>
      </c>
      <c r="J1" s="431"/>
      <c r="K1" s="431"/>
      <c r="L1" s="431"/>
      <c r="M1" s="432"/>
      <c r="O1" s="430" t="s">
        <v>100</v>
      </c>
      <c r="P1" s="431"/>
      <c r="Q1" s="431"/>
      <c r="R1" s="431"/>
      <c r="S1" s="431"/>
      <c r="T1" s="431"/>
      <c r="U1" s="432"/>
      <c r="W1" s="430" t="str">
        <f>+O1</f>
        <v xml:space="preserve">Cavca Ltda </v>
      </c>
      <c r="X1" s="431"/>
      <c r="Y1" s="431"/>
      <c r="Z1" s="431"/>
      <c r="AA1" s="432"/>
    </row>
    <row r="2" spans="1:29" ht="15" customHeight="1">
      <c r="A2" s="433" t="s">
        <v>97</v>
      </c>
      <c r="B2" s="434"/>
      <c r="C2" s="434"/>
      <c r="D2" s="434"/>
      <c r="E2" s="434"/>
      <c r="F2" s="434"/>
      <c r="G2" s="435"/>
      <c r="I2" s="433" t="s">
        <v>97</v>
      </c>
      <c r="J2" s="434"/>
      <c r="K2" s="434"/>
      <c r="L2" s="434"/>
      <c r="M2" s="435"/>
      <c r="O2" s="433" t="s">
        <v>159</v>
      </c>
      <c r="P2" s="434"/>
      <c r="Q2" s="434"/>
      <c r="R2" s="434"/>
      <c r="S2" s="434"/>
      <c r="T2" s="434"/>
      <c r="U2" s="435"/>
      <c r="W2" s="433" t="str">
        <f>+O2</f>
        <v xml:space="preserve">ESTADO DE RESULTADOS </v>
      </c>
      <c r="X2" s="434"/>
      <c r="Y2" s="434"/>
      <c r="Z2" s="434"/>
      <c r="AA2" s="435"/>
    </row>
    <row r="3" spans="1:29" ht="15" customHeight="1">
      <c r="A3" s="436" t="s">
        <v>98</v>
      </c>
      <c r="B3" s="437"/>
      <c r="C3" s="437"/>
      <c r="D3" s="437"/>
      <c r="E3" s="437"/>
      <c r="F3" s="437"/>
      <c r="G3" s="438"/>
      <c r="I3" s="436" t="s">
        <v>98</v>
      </c>
      <c r="J3" s="437"/>
      <c r="K3" s="437"/>
      <c r="L3" s="437"/>
      <c r="M3" s="438"/>
      <c r="O3" s="436" t="s">
        <v>98</v>
      </c>
      <c r="P3" s="437"/>
      <c r="Q3" s="437"/>
      <c r="R3" s="437"/>
      <c r="S3" s="437"/>
      <c r="T3" s="437"/>
      <c r="U3" s="438"/>
      <c r="W3" s="436" t="str">
        <f>+O3</f>
        <v>(REPRESENTADO EN MILLONES DE PESOS)</v>
      </c>
      <c r="X3" s="437"/>
      <c r="Y3" s="437"/>
      <c r="Z3" s="437"/>
      <c r="AA3" s="438"/>
    </row>
    <row r="4" spans="1:29" ht="15.75" customHeight="1" thickBot="1">
      <c r="A4" s="427" t="s">
        <v>164</v>
      </c>
      <c r="B4" s="428"/>
      <c r="C4" s="428"/>
      <c r="D4" s="428"/>
      <c r="E4" s="428"/>
      <c r="F4" s="428"/>
      <c r="G4" s="429"/>
      <c r="I4" s="427" t="s">
        <v>165</v>
      </c>
      <c r="J4" s="428"/>
      <c r="K4" s="428"/>
      <c r="L4" s="428"/>
      <c r="M4" s="429"/>
      <c r="O4" s="427" t="s">
        <v>99</v>
      </c>
      <c r="P4" s="428"/>
      <c r="Q4" s="428"/>
      <c r="R4" s="428"/>
      <c r="S4" s="428"/>
      <c r="T4" s="428"/>
      <c r="U4" s="429"/>
      <c r="W4" s="427" t="s">
        <v>165</v>
      </c>
      <c r="X4" s="428"/>
      <c r="Y4" s="428"/>
      <c r="Z4" s="428"/>
      <c r="AA4" s="429"/>
    </row>
    <row r="5" spans="1:29" ht="15.75" thickBot="1">
      <c r="A5" s="39"/>
      <c r="B5" s="40">
        <v>2015</v>
      </c>
      <c r="C5" s="40">
        <v>2016</v>
      </c>
      <c r="D5" s="40">
        <v>2017</v>
      </c>
      <c r="E5" s="40">
        <v>2018</v>
      </c>
      <c r="F5" s="40">
        <v>2019</v>
      </c>
      <c r="G5" s="40">
        <v>2020</v>
      </c>
      <c r="I5" s="40">
        <v>2016</v>
      </c>
      <c r="J5" s="40">
        <v>2017</v>
      </c>
      <c r="K5" s="40">
        <v>2018</v>
      </c>
      <c r="L5" s="40">
        <v>2019</v>
      </c>
      <c r="M5" s="40">
        <v>2020</v>
      </c>
      <c r="N5" s="30"/>
      <c r="O5" s="39"/>
      <c r="P5" s="40">
        <v>2015</v>
      </c>
      <c r="Q5" s="40">
        <v>2016</v>
      </c>
      <c r="R5" s="40">
        <v>2017</v>
      </c>
      <c r="S5" s="40">
        <v>2018</v>
      </c>
      <c r="T5" s="40">
        <v>2019</v>
      </c>
      <c r="U5" s="40">
        <v>2020</v>
      </c>
      <c r="V5" s="30"/>
      <c r="W5" s="40">
        <v>2016</v>
      </c>
      <c r="X5" s="40">
        <v>2017</v>
      </c>
      <c r="Y5" s="40">
        <v>2018</v>
      </c>
      <c r="Z5" s="40">
        <v>2019</v>
      </c>
      <c r="AA5" s="40">
        <v>2020</v>
      </c>
    </row>
    <row r="6" spans="1:29" ht="16.5" thickBot="1">
      <c r="A6" s="41" t="s">
        <v>30</v>
      </c>
      <c r="B6" s="67"/>
      <c r="C6" s="67"/>
      <c r="D6" s="67"/>
      <c r="E6" s="67"/>
      <c r="F6" s="67"/>
      <c r="G6" s="68"/>
      <c r="H6" s="37"/>
      <c r="I6" s="41" t="s">
        <v>30</v>
      </c>
      <c r="J6" s="104"/>
      <c r="K6" s="104"/>
      <c r="L6" s="104"/>
      <c r="M6" s="161"/>
      <c r="N6" s="27"/>
      <c r="O6" s="101" t="s">
        <v>62</v>
      </c>
      <c r="P6" s="102"/>
      <c r="Q6" s="102"/>
      <c r="R6" s="102"/>
      <c r="S6" s="102"/>
      <c r="T6" s="102"/>
      <c r="U6" s="103"/>
      <c r="V6" s="27"/>
      <c r="W6" s="167"/>
      <c r="X6" s="102"/>
      <c r="Y6" s="102"/>
      <c r="Z6" s="102"/>
      <c r="AA6" s="103"/>
    </row>
    <row r="7" spans="1:29" ht="16.5" thickBot="1">
      <c r="A7" s="42" t="s">
        <v>31</v>
      </c>
      <c r="B7" s="56"/>
      <c r="C7" s="56"/>
      <c r="D7" s="56"/>
      <c r="E7" s="56"/>
      <c r="F7" s="56"/>
      <c r="G7" s="69"/>
      <c r="H7" s="43"/>
      <c r="I7" s="42" t="s">
        <v>31</v>
      </c>
      <c r="J7" s="162"/>
      <c r="K7" s="162"/>
      <c r="L7" s="162"/>
      <c r="M7" s="163"/>
      <c r="N7" s="28"/>
      <c r="O7" s="45" t="s">
        <v>63</v>
      </c>
      <c r="P7" s="105">
        <v>904879380</v>
      </c>
      <c r="Q7" s="105">
        <v>1043977031</v>
      </c>
      <c r="R7" s="105">
        <v>1262392367</v>
      </c>
      <c r="S7" s="105">
        <v>1860941447</v>
      </c>
      <c r="T7" s="105">
        <v>2869401050</v>
      </c>
      <c r="U7" s="105">
        <v>3417084270</v>
      </c>
      <c r="V7" s="28"/>
      <c r="W7" s="119">
        <f>+(Q7/P7)-1</f>
        <v>0.15371954989183201</v>
      </c>
      <c r="X7" s="119">
        <f t="shared" ref="X7:X23" si="0">+(R7/Q7)-1</f>
        <v>0.20921469487770761</v>
      </c>
      <c r="Y7" s="119">
        <f t="shared" ref="Y7:Y23" si="1">+(S7/R7)-1</f>
        <v>0.47413870334341146</v>
      </c>
      <c r="Z7" s="119">
        <f t="shared" ref="Z7:Z23" si="2">+(T7/S7)-1</f>
        <v>0.54190829304475163</v>
      </c>
      <c r="AA7" s="119">
        <f t="shared" ref="AA7:AA23" si="3">+(U7/T7)-1</f>
        <v>0.19087022359596606</v>
      </c>
      <c r="AB7" s="374"/>
      <c r="AC7" s="375">
        <f>+((U7-P7)/P7)*100</f>
        <v>277.62870339691023</v>
      </c>
    </row>
    <row r="8" spans="1:29" ht="16.5" thickBot="1">
      <c r="A8" s="45" t="s">
        <v>32</v>
      </c>
      <c r="B8" s="46">
        <v>23013656</v>
      </c>
      <c r="C8" s="46">
        <v>16025937</v>
      </c>
      <c r="D8" s="46">
        <v>123418719</v>
      </c>
      <c r="E8" s="46">
        <v>196563193</v>
      </c>
      <c r="F8" s="46">
        <v>49372907</v>
      </c>
      <c r="G8" s="46">
        <v>100663317</v>
      </c>
      <c r="H8" s="37"/>
      <c r="I8" s="156">
        <f>+(C8/B8)-1</f>
        <v>-0.30363359042126992</v>
      </c>
      <c r="J8" s="156">
        <f t="shared" ref="J8:M8" si="4">+(D8/C8)-1</f>
        <v>6.7011858339390704</v>
      </c>
      <c r="K8" s="156">
        <f t="shared" si="4"/>
        <v>0.59265299942061467</v>
      </c>
      <c r="L8" s="156">
        <f t="shared" si="4"/>
        <v>-0.74881916473548538</v>
      </c>
      <c r="M8" s="156">
        <f t="shared" si="4"/>
        <v>1.038837150099345</v>
      </c>
      <c r="N8" s="27"/>
      <c r="O8" s="45" t="s">
        <v>64</v>
      </c>
      <c r="P8" s="109">
        <v>439612898</v>
      </c>
      <c r="Q8" s="105">
        <v>618771061</v>
      </c>
      <c r="R8" s="105">
        <v>0</v>
      </c>
      <c r="S8" s="105">
        <v>0</v>
      </c>
      <c r="T8" s="105">
        <v>1504556463</v>
      </c>
      <c r="U8" s="105">
        <v>1769012091</v>
      </c>
      <c r="V8" s="27"/>
      <c r="W8" s="119">
        <f t="shared" ref="W8:W23" si="5">+(Q8/P8)-1</f>
        <v>0.4075361842545393</v>
      </c>
      <c r="X8" s="119">
        <f t="shared" si="0"/>
        <v>-1</v>
      </c>
      <c r="Y8" s="119">
        <v>0</v>
      </c>
      <c r="Z8" s="119">
        <v>15.05</v>
      </c>
      <c r="AA8" s="119">
        <f t="shared" si="3"/>
        <v>0.17576982619362158</v>
      </c>
    </row>
    <row r="9" spans="1:29" ht="16.5" thickBot="1">
      <c r="A9" s="45" t="s">
        <v>33</v>
      </c>
      <c r="B9" s="46">
        <v>21036068</v>
      </c>
      <c r="C9" s="46">
        <v>24265911</v>
      </c>
      <c r="D9" s="46">
        <v>39123528</v>
      </c>
      <c r="E9" s="46">
        <v>81214177</v>
      </c>
      <c r="F9" s="46">
        <v>72801761</v>
      </c>
      <c r="G9" s="46">
        <v>209155086</v>
      </c>
      <c r="H9" s="37"/>
      <c r="I9" s="156">
        <f t="shared" ref="I9:I16" si="6">+(C9/B9)-1</f>
        <v>0.15353834186122617</v>
      </c>
      <c r="J9" s="156">
        <f t="shared" ref="J9:J16" si="7">+(D9/C9)-1</f>
        <v>0.61228350338876614</v>
      </c>
      <c r="K9" s="156">
        <f t="shared" ref="K9:K16" si="8">+(E9/D9)-1</f>
        <v>1.0758398117879349</v>
      </c>
      <c r="L9" s="156">
        <f t="shared" ref="L9:L16" si="9">+(F9/E9)-1</f>
        <v>-0.1035830973205577</v>
      </c>
      <c r="M9" s="156">
        <f t="shared" ref="M9:M16" si="10">+(G9/F9)-1</f>
        <v>1.8729399279228973</v>
      </c>
      <c r="N9" s="27"/>
      <c r="O9" s="106" t="s">
        <v>65</v>
      </c>
      <c r="P9" s="107">
        <f t="shared" ref="P9:U9" si="11">+P7-P8</f>
        <v>465266482</v>
      </c>
      <c r="Q9" s="107">
        <f t="shared" si="11"/>
        <v>425205970</v>
      </c>
      <c r="R9" s="107">
        <f t="shared" si="11"/>
        <v>1262392367</v>
      </c>
      <c r="S9" s="107">
        <f t="shared" si="11"/>
        <v>1860941447</v>
      </c>
      <c r="T9" s="107">
        <f t="shared" si="11"/>
        <v>1364844587</v>
      </c>
      <c r="U9" s="107">
        <f t="shared" si="11"/>
        <v>1648072179</v>
      </c>
      <c r="V9" s="27"/>
      <c r="W9" s="120">
        <f t="shared" si="5"/>
        <v>-8.6102295243352556E-2</v>
      </c>
      <c r="X9" s="120">
        <f t="shared" si="0"/>
        <v>1.9688961493179411</v>
      </c>
      <c r="Y9" s="120">
        <f t="shared" si="1"/>
        <v>0.47413870334341146</v>
      </c>
      <c r="Z9" s="120">
        <f t="shared" si="2"/>
        <v>-0.26658380939376214</v>
      </c>
      <c r="AA9" s="120">
        <f t="shared" si="3"/>
        <v>0.20751636830867981</v>
      </c>
    </row>
    <row r="10" spans="1:29" ht="16.5" thickBot="1">
      <c r="A10" s="45" t="s">
        <v>34</v>
      </c>
      <c r="B10" s="46">
        <v>280586787</v>
      </c>
      <c r="C10" s="46">
        <v>388244289</v>
      </c>
      <c r="D10" s="46">
        <v>264648969</v>
      </c>
      <c r="E10" s="46">
        <v>368327627</v>
      </c>
      <c r="F10" s="46">
        <v>312764949</v>
      </c>
      <c r="G10" s="46">
        <v>312353000</v>
      </c>
      <c r="H10" s="37"/>
      <c r="I10" s="156">
        <f t="shared" si="6"/>
        <v>0.3836869980623856</v>
      </c>
      <c r="J10" s="156">
        <f t="shared" si="7"/>
        <v>-0.31834420621702952</v>
      </c>
      <c r="K10" s="156">
        <f t="shared" si="8"/>
        <v>0.39175916079234763</v>
      </c>
      <c r="L10" s="156">
        <f t="shared" si="9"/>
        <v>-0.15085123658128419</v>
      </c>
      <c r="M10" s="156">
        <f t="shared" si="10"/>
        <v>-1.3171200971116015E-3</v>
      </c>
      <c r="N10" s="27"/>
      <c r="O10" s="45" t="s">
        <v>66</v>
      </c>
      <c r="P10" s="105">
        <v>1563514</v>
      </c>
      <c r="Q10" s="105">
        <v>4958700</v>
      </c>
      <c r="R10" s="105">
        <v>8381414</v>
      </c>
      <c r="S10" s="105">
        <v>8895908</v>
      </c>
      <c r="T10" s="108">
        <v>597205</v>
      </c>
      <c r="U10" s="108">
        <v>26627619</v>
      </c>
      <c r="V10" s="27"/>
      <c r="W10" s="119">
        <f t="shared" si="5"/>
        <v>2.1715098169891669</v>
      </c>
      <c r="X10" s="119">
        <f t="shared" si="0"/>
        <v>0.69024421723435569</v>
      </c>
      <c r="Y10" s="119">
        <f t="shared" si="1"/>
        <v>6.1385107572540898E-2</v>
      </c>
      <c r="Z10" s="119">
        <f t="shared" si="2"/>
        <v>-0.93286744871911897</v>
      </c>
      <c r="AA10" s="119">
        <f t="shared" si="3"/>
        <v>43.587066417729254</v>
      </c>
    </row>
    <row r="11" spans="1:29" ht="16.5" thickBot="1">
      <c r="A11" s="45" t="s">
        <v>35</v>
      </c>
      <c r="B11" s="46">
        <v>3880103</v>
      </c>
      <c r="C11" s="46">
        <v>5693959</v>
      </c>
      <c r="D11" s="46">
        <v>14015294</v>
      </c>
      <c r="E11" s="46">
        <v>18698322</v>
      </c>
      <c r="F11" s="48">
        <v>239753949</v>
      </c>
      <c r="G11" s="48">
        <v>189833537</v>
      </c>
      <c r="H11" s="37"/>
      <c r="I11" s="156">
        <f t="shared" si="6"/>
        <v>0.46747624998614734</v>
      </c>
      <c r="J11" s="156">
        <f t="shared" si="7"/>
        <v>1.4614321950684928</v>
      </c>
      <c r="K11" s="156">
        <f t="shared" si="8"/>
        <v>0.33413697921713248</v>
      </c>
      <c r="L11" s="156">
        <f t="shared" si="9"/>
        <v>11.822217362606121</v>
      </c>
      <c r="M11" s="156">
        <f t="shared" si="10"/>
        <v>-0.20821518147340301</v>
      </c>
      <c r="N11" s="27"/>
      <c r="O11" s="45" t="s">
        <v>67</v>
      </c>
      <c r="P11" s="109">
        <v>418591551</v>
      </c>
      <c r="Q11" s="105">
        <v>379747737</v>
      </c>
      <c r="R11" s="109">
        <v>1291765553</v>
      </c>
      <c r="S11" s="105">
        <v>1878936621</v>
      </c>
      <c r="T11" s="108">
        <v>1180030203</v>
      </c>
      <c r="U11" s="108">
        <v>1343458823</v>
      </c>
      <c r="V11" s="27"/>
      <c r="W11" s="119">
        <f t="shared" si="5"/>
        <v>-9.2796459716407376E-2</v>
      </c>
      <c r="X11" s="119">
        <f t="shared" si="0"/>
        <v>2.4016412137302612</v>
      </c>
      <c r="Y11" s="119">
        <f t="shared" si="1"/>
        <v>0.45454925364463561</v>
      </c>
      <c r="Z11" s="119">
        <f t="shared" si="2"/>
        <v>-0.37196912880862942</v>
      </c>
      <c r="AA11" s="119">
        <f t="shared" si="3"/>
        <v>0.13849528561600732</v>
      </c>
    </row>
    <row r="12" spans="1:29" ht="16.5" thickBot="1">
      <c r="A12" s="39" t="s">
        <v>36</v>
      </c>
      <c r="B12" s="49">
        <f t="shared" ref="B12:G12" si="12">SUM(B8:B11)</f>
        <v>328516614</v>
      </c>
      <c r="C12" s="49">
        <f t="shared" si="12"/>
        <v>434230096</v>
      </c>
      <c r="D12" s="49">
        <f t="shared" si="12"/>
        <v>441206510</v>
      </c>
      <c r="E12" s="49">
        <f t="shared" si="12"/>
        <v>664803319</v>
      </c>
      <c r="F12" s="49">
        <f t="shared" si="12"/>
        <v>674693566</v>
      </c>
      <c r="G12" s="76">
        <f t="shared" si="12"/>
        <v>812004940</v>
      </c>
      <c r="H12" s="37"/>
      <c r="I12" s="155">
        <f t="shared" si="6"/>
        <v>0.32179036765550006</v>
      </c>
      <c r="J12" s="155">
        <f t="shared" si="7"/>
        <v>1.6066168753075205E-2</v>
      </c>
      <c r="K12" s="155">
        <f t="shared" si="8"/>
        <v>0.50678492708550471</v>
      </c>
      <c r="L12" s="155">
        <f t="shared" si="9"/>
        <v>1.4876951900416158E-2</v>
      </c>
      <c r="M12" s="155">
        <f t="shared" si="10"/>
        <v>0.20351664951255821</v>
      </c>
      <c r="N12" s="27"/>
      <c r="O12" s="45" t="s">
        <v>68</v>
      </c>
      <c r="P12" s="105">
        <v>16020653</v>
      </c>
      <c r="Q12" s="105">
        <v>18848871</v>
      </c>
      <c r="R12" s="109">
        <v>0</v>
      </c>
      <c r="S12" s="105">
        <v>0</v>
      </c>
      <c r="T12" s="108">
        <v>0</v>
      </c>
      <c r="U12" s="108">
        <v>0</v>
      </c>
      <c r="V12" s="27"/>
      <c r="W12" s="119">
        <f t="shared" si="5"/>
        <v>0.1765357504466265</v>
      </c>
      <c r="X12" s="119">
        <f t="shared" si="0"/>
        <v>-1</v>
      </c>
      <c r="Y12" s="119">
        <v>0</v>
      </c>
      <c r="Z12" s="119">
        <v>0</v>
      </c>
      <c r="AA12" s="119">
        <v>0</v>
      </c>
    </row>
    <row r="13" spans="1:29" ht="16.5" thickBot="1">
      <c r="A13" s="51" t="s">
        <v>37</v>
      </c>
      <c r="B13" s="46"/>
      <c r="C13" s="46"/>
      <c r="D13" s="46"/>
      <c r="E13" s="46"/>
      <c r="F13" s="46"/>
      <c r="G13" s="46"/>
      <c r="H13" s="37"/>
      <c r="I13" s="156"/>
      <c r="J13" s="156"/>
      <c r="K13" s="156"/>
      <c r="L13" s="156"/>
      <c r="M13" s="156"/>
      <c r="N13" s="27"/>
      <c r="O13" s="45" t="s">
        <v>69</v>
      </c>
      <c r="P13" s="105">
        <v>0</v>
      </c>
      <c r="Q13" s="105">
        <v>0</v>
      </c>
      <c r="R13" s="105">
        <v>29325811</v>
      </c>
      <c r="S13" s="105">
        <v>19271845</v>
      </c>
      <c r="T13" s="108">
        <v>0</v>
      </c>
      <c r="U13" s="108">
        <v>0</v>
      </c>
      <c r="V13" s="27"/>
      <c r="W13" s="119"/>
      <c r="X13" s="119"/>
      <c r="Y13" s="119">
        <f t="shared" si="1"/>
        <v>-0.34283675905842803</v>
      </c>
      <c r="Z13" s="119">
        <f t="shared" si="2"/>
        <v>-1</v>
      </c>
      <c r="AA13" s="119"/>
    </row>
    <row r="14" spans="1:29" ht="16.5" thickBot="1">
      <c r="A14" s="45" t="s">
        <v>38</v>
      </c>
      <c r="B14" s="46">
        <v>54526538</v>
      </c>
      <c r="C14" s="46">
        <v>45721698</v>
      </c>
      <c r="D14" s="46">
        <v>69419853</v>
      </c>
      <c r="E14" s="46">
        <v>53522787</v>
      </c>
      <c r="F14" s="48">
        <v>63501938</v>
      </c>
      <c r="G14" s="48">
        <v>171261779</v>
      </c>
      <c r="H14" s="37"/>
      <c r="I14" s="156">
        <f t="shared" si="6"/>
        <v>-0.16147806779883955</v>
      </c>
      <c r="J14" s="156">
        <f t="shared" si="7"/>
        <v>0.51831309939538994</v>
      </c>
      <c r="K14" s="156">
        <f t="shared" si="8"/>
        <v>-0.2289988427373939</v>
      </c>
      <c r="L14" s="156">
        <f t="shared" si="9"/>
        <v>0.1864467745298839</v>
      </c>
      <c r="M14" s="156">
        <f t="shared" si="10"/>
        <v>1.6969535795899646</v>
      </c>
      <c r="N14" s="27"/>
      <c r="O14" s="106" t="s">
        <v>70</v>
      </c>
      <c r="P14" s="107">
        <f>+P9+P10-P11-P12-P13</f>
        <v>32217792</v>
      </c>
      <c r="Q14" s="107">
        <f>+Q9+Q10-Q11-Q12-Q13</f>
        <v>31568062</v>
      </c>
      <c r="R14" s="107">
        <f t="shared" ref="R14:U14" si="13">+R9+R10-R11-R12-R13</f>
        <v>-50317583</v>
      </c>
      <c r="S14" s="107">
        <v>-28371111</v>
      </c>
      <c r="T14" s="107">
        <f t="shared" si="13"/>
        <v>185411589</v>
      </c>
      <c r="U14" s="107">
        <f t="shared" si="13"/>
        <v>331240975</v>
      </c>
      <c r="V14" s="27"/>
      <c r="W14" s="120">
        <f t="shared" si="5"/>
        <v>-2.0166807210127868E-2</v>
      </c>
      <c r="X14" s="120">
        <f t="shared" si="0"/>
        <v>-2.5939395646143879</v>
      </c>
      <c r="Y14" s="120">
        <f t="shared" si="1"/>
        <v>-0.43615910565497551</v>
      </c>
      <c r="Z14" s="120">
        <f t="shared" si="2"/>
        <v>-7.5352248278186922</v>
      </c>
      <c r="AA14" s="120">
        <f t="shared" si="3"/>
        <v>0.78651710384726825</v>
      </c>
    </row>
    <row r="15" spans="1:29" ht="16.5" thickBot="1">
      <c r="A15" s="45" t="s">
        <v>39</v>
      </c>
      <c r="B15" s="46">
        <v>1250000</v>
      </c>
      <c r="C15" s="46">
        <v>0</v>
      </c>
      <c r="D15" s="46"/>
      <c r="E15" s="46"/>
      <c r="F15" s="46"/>
      <c r="G15" s="46"/>
      <c r="H15" s="37"/>
      <c r="I15" s="156">
        <f t="shared" si="6"/>
        <v>-1</v>
      </c>
      <c r="J15" s="156"/>
      <c r="K15" s="156"/>
      <c r="L15" s="156"/>
      <c r="M15" s="156"/>
      <c r="N15" s="27"/>
      <c r="O15" s="58" t="s">
        <v>71</v>
      </c>
      <c r="P15" s="105"/>
      <c r="Q15" s="105"/>
      <c r="R15" s="105"/>
      <c r="S15" s="105"/>
      <c r="T15" s="105">
        <v>152220</v>
      </c>
      <c r="U15" s="105">
        <v>4955622</v>
      </c>
      <c r="V15" s="27"/>
      <c r="W15" s="119"/>
      <c r="X15" s="119"/>
      <c r="Y15" s="119"/>
      <c r="Z15" s="119"/>
      <c r="AA15" s="119">
        <f t="shared" si="3"/>
        <v>31.555656286953095</v>
      </c>
    </row>
    <row r="16" spans="1:29" ht="16.5" thickBot="1">
      <c r="A16" s="39" t="s">
        <v>40</v>
      </c>
      <c r="B16" s="49">
        <f t="shared" ref="B16:G16" si="14">+B14+B15</f>
        <v>55776538</v>
      </c>
      <c r="C16" s="49">
        <f t="shared" si="14"/>
        <v>45721698</v>
      </c>
      <c r="D16" s="49">
        <f t="shared" si="14"/>
        <v>69419853</v>
      </c>
      <c r="E16" s="49">
        <f t="shared" si="14"/>
        <v>53522787</v>
      </c>
      <c r="F16" s="49">
        <f t="shared" si="14"/>
        <v>63501938</v>
      </c>
      <c r="G16" s="76">
        <f t="shared" si="14"/>
        <v>171261779</v>
      </c>
      <c r="H16" s="37"/>
      <c r="I16" s="155">
        <f t="shared" si="6"/>
        <v>-0.18027006265609391</v>
      </c>
      <c r="J16" s="155">
        <f t="shared" si="7"/>
        <v>0.51831309939538994</v>
      </c>
      <c r="K16" s="155">
        <f t="shared" si="8"/>
        <v>-0.2289988427373939</v>
      </c>
      <c r="L16" s="155">
        <f t="shared" si="9"/>
        <v>0.1864467745298839</v>
      </c>
      <c r="M16" s="155">
        <f t="shared" si="10"/>
        <v>1.6969535795899646</v>
      </c>
      <c r="N16" s="27"/>
      <c r="O16" s="58" t="s">
        <v>72</v>
      </c>
      <c r="P16" s="105"/>
      <c r="Q16" s="105"/>
      <c r="R16" s="105"/>
      <c r="S16" s="105"/>
      <c r="T16" s="105">
        <v>22743955</v>
      </c>
      <c r="U16" s="105">
        <v>22040201</v>
      </c>
      <c r="V16" s="27"/>
      <c r="W16" s="119"/>
      <c r="X16" s="119"/>
      <c r="Y16" s="119"/>
      <c r="Z16" s="119"/>
      <c r="AA16" s="119">
        <f t="shared" si="3"/>
        <v>-3.0942463612858906E-2</v>
      </c>
    </row>
    <row r="17" spans="1:28" ht="16.5" thickBot="1">
      <c r="A17" s="37"/>
      <c r="B17" s="52"/>
      <c r="C17" s="52"/>
      <c r="D17" s="52"/>
      <c r="E17" s="52"/>
      <c r="F17" s="52"/>
      <c r="G17" s="52"/>
      <c r="H17" s="37"/>
      <c r="I17" s="37"/>
      <c r="J17" s="37"/>
      <c r="K17" s="37"/>
      <c r="L17" s="37"/>
      <c r="M17" s="37"/>
      <c r="N17" s="27"/>
      <c r="O17" s="106" t="s">
        <v>73</v>
      </c>
      <c r="P17" s="107"/>
      <c r="Q17" s="107"/>
      <c r="R17" s="107"/>
      <c r="S17" s="107"/>
      <c r="T17" s="107">
        <f>+T14+T15-T16</f>
        <v>162819854</v>
      </c>
      <c r="U17" s="107">
        <f>+U14+U15-U16</f>
        <v>314156396</v>
      </c>
      <c r="V17" s="27"/>
      <c r="W17" s="120"/>
      <c r="X17" s="120"/>
      <c r="Y17" s="120"/>
      <c r="Z17" s="120"/>
      <c r="AA17" s="120">
        <f t="shared" si="3"/>
        <v>0.92947228659227266</v>
      </c>
    </row>
    <row r="18" spans="1:28" ht="16.5" thickBot="1">
      <c r="A18" s="61" t="s">
        <v>41</v>
      </c>
      <c r="B18" s="111">
        <f t="shared" ref="B18:G18" si="15">+B12+B16</f>
        <v>384293152</v>
      </c>
      <c r="C18" s="111">
        <f t="shared" si="15"/>
        <v>479951794</v>
      </c>
      <c r="D18" s="111">
        <f t="shared" si="15"/>
        <v>510626363</v>
      </c>
      <c r="E18" s="111">
        <f t="shared" si="15"/>
        <v>718326106</v>
      </c>
      <c r="F18" s="111">
        <f t="shared" si="15"/>
        <v>738195504</v>
      </c>
      <c r="G18" s="112">
        <f t="shared" si="15"/>
        <v>983266719</v>
      </c>
      <c r="H18" s="37"/>
      <c r="I18" s="158">
        <f t="shared" ref="I18" si="16">+(C18/B18)-1</f>
        <v>0.24892101642237963</v>
      </c>
      <c r="J18" s="158">
        <f t="shared" ref="J18" si="17">+(D18/C18)-1</f>
        <v>6.391177068920384E-2</v>
      </c>
      <c r="K18" s="158">
        <f t="shared" ref="K18" si="18">+(E18/D18)-1</f>
        <v>0.40675483690214409</v>
      </c>
      <c r="L18" s="158">
        <f t="shared" ref="L18" si="19">+(F18/E18)-1</f>
        <v>2.7660693150417082E-2</v>
      </c>
      <c r="M18" s="158">
        <f t="shared" ref="M18" si="20">+(G18/F18)-1</f>
        <v>0.33198687024243911</v>
      </c>
      <c r="N18" s="27"/>
      <c r="O18" s="45" t="s">
        <v>74</v>
      </c>
      <c r="P18" s="105">
        <v>14354000</v>
      </c>
      <c r="Q18" s="105">
        <v>14578000</v>
      </c>
      <c r="R18" s="109">
        <v>2055000</v>
      </c>
      <c r="S18" s="109">
        <v>1390000</v>
      </c>
      <c r="T18" s="105">
        <v>59789000</v>
      </c>
      <c r="U18" s="105">
        <v>79732000</v>
      </c>
      <c r="V18" s="27"/>
      <c r="W18" s="119">
        <f t="shared" si="5"/>
        <v>1.5605406158561985E-2</v>
      </c>
      <c r="X18" s="119">
        <f t="shared" si="0"/>
        <v>-0.85903416106461794</v>
      </c>
      <c r="Y18" s="119">
        <f t="shared" si="1"/>
        <v>-0.32360097323600978</v>
      </c>
      <c r="Z18" s="119">
        <f t="shared" si="2"/>
        <v>42.0136690647482</v>
      </c>
      <c r="AA18" s="119">
        <f t="shared" si="3"/>
        <v>0.33355633979494548</v>
      </c>
    </row>
    <row r="19" spans="1:28" ht="16.5" thickBot="1">
      <c r="A19" s="43"/>
      <c r="B19" s="70"/>
      <c r="C19" s="70"/>
      <c r="D19" s="70"/>
      <c r="E19" s="70"/>
      <c r="F19" s="70"/>
      <c r="G19" s="70"/>
      <c r="H19" s="37"/>
      <c r="I19" s="37"/>
      <c r="J19" s="37"/>
      <c r="K19" s="37"/>
      <c r="L19" s="37"/>
      <c r="M19" s="37"/>
      <c r="N19" s="27"/>
      <c r="O19" s="106" t="s">
        <v>75</v>
      </c>
      <c r="P19" s="110">
        <f>+P14-P18</f>
        <v>17863792</v>
      </c>
      <c r="Q19" s="110">
        <f>+Q14-Q18</f>
        <v>16990062</v>
      </c>
      <c r="R19" s="110">
        <f>+R14-R18</f>
        <v>-52372583</v>
      </c>
      <c r="S19" s="110">
        <f>+S14-S18</f>
        <v>-29761111</v>
      </c>
      <c r="T19" s="110">
        <f>+T17-T18</f>
        <v>103030854</v>
      </c>
      <c r="U19" s="110">
        <f>+U17-U18</f>
        <v>234424396</v>
      </c>
      <c r="V19" s="27"/>
      <c r="W19" s="120">
        <f t="shared" si="5"/>
        <v>-4.8910668014943259E-2</v>
      </c>
      <c r="X19" s="120">
        <f t="shared" si="0"/>
        <v>-4.0825421943722162</v>
      </c>
      <c r="Y19" s="120">
        <f t="shared" si="1"/>
        <v>-0.43174253979415145</v>
      </c>
      <c r="Z19" s="120">
        <f t="shared" si="2"/>
        <v>-4.4619290254318802</v>
      </c>
      <c r="AA19" s="120">
        <f t="shared" si="3"/>
        <v>1.275283440822494</v>
      </c>
      <c r="AB19" s="373"/>
    </row>
    <row r="20" spans="1:28" ht="16.5" thickBot="1">
      <c r="A20" s="54" t="s">
        <v>42</v>
      </c>
      <c r="B20" s="73"/>
      <c r="C20" s="73"/>
      <c r="D20" s="73"/>
      <c r="E20" s="73"/>
      <c r="F20" s="73"/>
      <c r="G20" s="113"/>
      <c r="H20" s="37"/>
      <c r="I20" s="54" t="s">
        <v>42</v>
      </c>
      <c r="J20" s="104"/>
      <c r="K20" s="104"/>
      <c r="L20" s="104"/>
      <c r="M20" s="161"/>
      <c r="N20" s="27"/>
      <c r="O20" s="106" t="s">
        <v>76</v>
      </c>
      <c r="P20" s="107">
        <f>+P19</f>
        <v>17863792</v>
      </c>
      <c r="Q20" s="107">
        <f>+Q19</f>
        <v>16990062</v>
      </c>
      <c r="R20" s="107">
        <f t="shared" ref="R20:U20" si="21">+R19</f>
        <v>-52372583</v>
      </c>
      <c r="S20" s="107">
        <f t="shared" si="21"/>
        <v>-29761111</v>
      </c>
      <c r="T20" s="107">
        <f t="shared" si="21"/>
        <v>103030854</v>
      </c>
      <c r="U20" s="107">
        <f t="shared" si="21"/>
        <v>234424396</v>
      </c>
      <c r="V20" s="27"/>
      <c r="W20" s="120">
        <f t="shared" si="5"/>
        <v>-4.8910668014943259E-2</v>
      </c>
      <c r="X20" s="120">
        <f t="shared" si="0"/>
        <v>-4.0825421943722162</v>
      </c>
      <c r="Y20" s="120">
        <f t="shared" si="1"/>
        <v>-0.43174253979415145</v>
      </c>
      <c r="Z20" s="120">
        <f t="shared" si="2"/>
        <v>-4.4619290254318802</v>
      </c>
      <c r="AA20" s="120">
        <f t="shared" si="3"/>
        <v>1.275283440822494</v>
      </c>
    </row>
    <row r="21" spans="1:28" ht="16.5" thickBot="1">
      <c r="A21" s="42" t="s">
        <v>43</v>
      </c>
      <c r="B21" s="55"/>
      <c r="C21" s="55"/>
      <c r="D21" s="55"/>
      <c r="E21" s="57"/>
      <c r="F21" s="55"/>
      <c r="G21" s="114"/>
      <c r="H21" s="37"/>
      <c r="I21" s="42" t="s">
        <v>43</v>
      </c>
      <c r="J21" s="65"/>
      <c r="K21" s="65"/>
      <c r="L21" s="65"/>
      <c r="M21" s="164"/>
      <c r="N21" s="27"/>
      <c r="O21" s="45" t="s">
        <v>77</v>
      </c>
      <c r="P21" s="105">
        <v>202128943</v>
      </c>
      <c r="Q21" s="105">
        <v>184265151</v>
      </c>
      <c r="R21" s="105">
        <v>167275090</v>
      </c>
      <c r="S21" s="105">
        <v>219647673</v>
      </c>
      <c r="T21" s="105">
        <f>+T19</f>
        <v>103030854</v>
      </c>
      <c r="U21" s="105">
        <f>+U19</f>
        <v>234424396</v>
      </c>
      <c r="V21" s="27"/>
      <c r="W21" s="119">
        <f t="shared" si="5"/>
        <v>-8.8378199256699208E-2</v>
      </c>
      <c r="X21" s="119">
        <f t="shared" si="0"/>
        <v>-9.2204417969407593E-2</v>
      </c>
      <c r="Y21" s="119">
        <f t="shared" si="1"/>
        <v>0.31309254115481266</v>
      </c>
      <c r="Z21" s="119">
        <f t="shared" si="2"/>
        <v>-0.53092672190522139</v>
      </c>
      <c r="AA21" s="119">
        <f t="shared" si="3"/>
        <v>1.275283440822494</v>
      </c>
    </row>
    <row r="22" spans="1:28" ht="16.5" thickBot="1">
      <c r="A22" s="45" t="s">
        <v>44</v>
      </c>
      <c r="B22" s="46">
        <v>0</v>
      </c>
      <c r="C22" s="46">
        <v>0</v>
      </c>
      <c r="D22" s="46">
        <v>0</v>
      </c>
      <c r="E22" s="46">
        <v>0</v>
      </c>
      <c r="F22" s="46"/>
      <c r="G22" s="46"/>
      <c r="H22" s="37"/>
      <c r="I22" s="156"/>
      <c r="J22" s="156"/>
      <c r="K22" s="156"/>
      <c r="L22" s="156"/>
      <c r="M22" s="156"/>
      <c r="N22" s="27"/>
      <c r="O22" s="45" t="s">
        <v>78</v>
      </c>
      <c r="P22" s="105">
        <v>0</v>
      </c>
      <c r="Q22" s="105">
        <v>0</v>
      </c>
      <c r="R22" s="105">
        <v>0</v>
      </c>
      <c r="S22" s="105">
        <v>0</v>
      </c>
      <c r="T22" s="105">
        <v>0</v>
      </c>
      <c r="U22" s="105">
        <v>0</v>
      </c>
      <c r="V22" s="27"/>
      <c r="W22" s="119"/>
      <c r="X22" s="119"/>
      <c r="Y22" s="119"/>
      <c r="Z22" s="119"/>
      <c r="AA22" s="119"/>
    </row>
    <row r="23" spans="1:28" ht="16.5" thickBot="1">
      <c r="A23" s="45" t="s">
        <v>45</v>
      </c>
      <c r="B23" s="46">
        <v>136896961</v>
      </c>
      <c r="C23" s="46">
        <v>143226012</v>
      </c>
      <c r="D23" s="46">
        <v>146347389</v>
      </c>
      <c r="E23" s="46">
        <v>322074837</v>
      </c>
      <c r="F23" s="46">
        <v>248104135</v>
      </c>
      <c r="G23" s="46">
        <v>163796625</v>
      </c>
      <c r="H23" s="37"/>
      <c r="I23" s="156">
        <f t="shared" ref="I23:I32" si="22">+(C23/B23)-1</f>
        <v>4.6232224249302289E-2</v>
      </c>
      <c r="J23" s="156">
        <f t="shared" ref="J23:J32" si="23">+(D23/C23)-1</f>
        <v>2.1793366696546634E-2</v>
      </c>
      <c r="K23" s="156">
        <f t="shared" ref="K23:K32" si="24">+(E23/D23)-1</f>
        <v>1.2007556076043149</v>
      </c>
      <c r="L23" s="156">
        <f t="shared" ref="L23:L32" si="25">+(F23/E23)-1</f>
        <v>-0.22966929887788778</v>
      </c>
      <c r="M23" s="156">
        <f t="shared" ref="M23:M32" si="26">+(G23/F23)-1</f>
        <v>-0.33980695243148606</v>
      </c>
      <c r="N23" s="27"/>
      <c r="O23" s="106" t="s">
        <v>79</v>
      </c>
      <c r="P23" s="107">
        <f>+P20-P21-P22</f>
        <v>-184265151</v>
      </c>
      <c r="Q23" s="107">
        <f>+Q20-Q21-Q22</f>
        <v>-167275089</v>
      </c>
      <c r="R23" s="107">
        <f>+R20-R21-R22</f>
        <v>-219647673</v>
      </c>
      <c r="S23" s="115">
        <f>+S20-S21-S22</f>
        <v>-249408784</v>
      </c>
      <c r="T23" s="107">
        <f>+T21-T22</f>
        <v>103030854</v>
      </c>
      <c r="U23" s="107">
        <f>+U21-U22</f>
        <v>234424396</v>
      </c>
      <c r="V23" s="27"/>
      <c r="W23" s="120">
        <f t="shared" si="5"/>
        <v>-9.2204423396369695E-2</v>
      </c>
      <c r="X23" s="120">
        <f t="shared" si="0"/>
        <v>0.31309254900471162</v>
      </c>
      <c r="Y23" s="120">
        <f t="shared" si="1"/>
        <v>0.13549477029970625</v>
      </c>
      <c r="Z23" s="120">
        <f t="shared" si="2"/>
        <v>-1.413100342127485</v>
      </c>
      <c r="AA23" s="120">
        <f t="shared" si="3"/>
        <v>1.275283440822494</v>
      </c>
    </row>
    <row r="24" spans="1:28" ht="16.5" thickBot="1">
      <c r="A24" s="45" t="s">
        <v>46</v>
      </c>
      <c r="B24" s="46">
        <v>14354000</v>
      </c>
      <c r="C24" s="46">
        <v>14578000</v>
      </c>
      <c r="D24" s="46">
        <v>77515099</v>
      </c>
      <c r="E24" s="46">
        <v>83230267</v>
      </c>
      <c r="F24" s="46">
        <v>135197778</v>
      </c>
      <c r="G24" s="46">
        <v>135224000</v>
      </c>
      <c r="H24" s="37"/>
      <c r="I24" s="156">
        <f t="shared" si="22"/>
        <v>1.5605406158561985E-2</v>
      </c>
      <c r="J24" s="156">
        <f t="shared" si="23"/>
        <v>4.3172656743037452</v>
      </c>
      <c r="K24" s="156">
        <f t="shared" si="24"/>
        <v>7.3729738769991116E-2</v>
      </c>
      <c r="L24" s="156">
        <f t="shared" si="25"/>
        <v>0.62438236561225979</v>
      </c>
      <c r="M24" s="156">
        <f t="shared" si="26"/>
        <v>1.93952891740512E-4</v>
      </c>
      <c r="N24" s="27"/>
      <c r="O24" s="27"/>
      <c r="P24" s="27"/>
      <c r="Q24" s="27"/>
      <c r="R24" s="27"/>
      <c r="S24" s="27"/>
      <c r="T24" s="27"/>
      <c r="U24" s="27"/>
      <c r="V24" s="27"/>
    </row>
    <row r="25" spans="1:28" ht="16.5" thickBot="1">
      <c r="A25" s="58" t="s">
        <v>47</v>
      </c>
      <c r="B25" s="48">
        <v>20329310</v>
      </c>
      <c r="C25" s="48">
        <v>27031759</v>
      </c>
      <c r="D25" s="48">
        <v>49916491</v>
      </c>
      <c r="E25" s="48">
        <v>55812268</v>
      </c>
      <c r="F25" s="46">
        <v>82762293</v>
      </c>
      <c r="G25" s="46">
        <v>135153397</v>
      </c>
      <c r="H25" s="37"/>
      <c r="I25" s="156">
        <f t="shared" si="22"/>
        <v>0.32969387549306894</v>
      </c>
      <c r="J25" s="156">
        <f t="shared" si="23"/>
        <v>0.84658686103260972</v>
      </c>
      <c r="K25" s="156">
        <f t="shared" si="24"/>
        <v>0.11811280965242532</v>
      </c>
      <c r="L25" s="156">
        <f t="shared" si="25"/>
        <v>0.48286919642828341</v>
      </c>
      <c r="M25" s="156">
        <f t="shared" si="26"/>
        <v>0.63303108337029768</v>
      </c>
      <c r="N25" s="27"/>
      <c r="O25" s="37"/>
      <c r="P25" s="62"/>
      <c r="Q25" s="62"/>
      <c r="R25" s="62"/>
      <c r="S25" s="62"/>
      <c r="T25" s="62"/>
      <c r="U25" s="62"/>
      <c r="V25" s="27"/>
    </row>
    <row r="26" spans="1:28" ht="16.5" thickBot="1">
      <c r="A26" s="45" t="s">
        <v>48</v>
      </c>
      <c r="B26" s="46">
        <v>26264703</v>
      </c>
      <c r="C26" s="46">
        <v>7754692</v>
      </c>
      <c r="D26" s="46">
        <v>0</v>
      </c>
      <c r="E26" s="46">
        <v>0</v>
      </c>
      <c r="F26" s="46">
        <v>0</v>
      </c>
      <c r="G26" s="46">
        <v>0</v>
      </c>
      <c r="H26" s="37"/>
      <c r="I26" s="156">
        <f t="shared" si="22"/>
        <v>-0.70474853646736457</v>
      </c>
      <c r="J26" s="156">
        <f t="shared" si="23"/>
        <v>-1</v>
      </c>
      <c r="K26" s="156"/>
      <c r="L26" s="156"/>
      <c r="M26" s="156"/>
      <c r="N26" s="27"/>
      <c r="O26" s="27"/>
      <c r="P26" s="27"/>
      <c r="Q26" s="27"/>
      <c r="R26" s="27"/>
      <c r="S26" s="27"/>
      <c r="T26" s="27"/>
      <c r="U26" s="27"/>
      <c r="V26" s="27"/>
    </row>
    <row r="27" spans="1:28" ht="16.5" thickBot="1">
      <c r="A27" s="45" t="s">
        <v>49</v>
      </c>
      <c r="B27" s="46">
        <v>27013328</v>
      </c>
      <c r="C27" s="46">
        <v>29050737</v>
      </c>
      <c r="D27" s="46">
        <v>67795057</v>
      </c>
      <c r="E27" s="46">
        <v>116701328</v>
      </c>
      <c r="F27" s="46">
        <v>41535493</v>
      </c>
      <c r="G27" s="46">
        <v>84072716</v>
      </c>
      <c r="H27" s="37"/>
      <c r="I27" s="156">
        <f t="shared" si="22"/>
        <v>7.5422361880032041E-2</v>
      </c>
      <c r="J27" s="156">
        <f t="shared" si="23"/>
        <v>1.3336776963696306</v>
      </c>
      <c r="K27" s="156">
        <f t="shared" si="24"/>
        <v>0.72138402361694309</v>
      </c>
      <c r="L27" s="156">
        <f t="shared" si="25"/>
        <v>-0.64408722923872808</v>
      </c>
      <c r="M27" s="156">
        <f t="shared" si="26"/>
        <v>1.0241174457710183</v>
      </c>
      <c r="N27" s="27"/>
      <c r="O27" s="27"/>
      <c r="P27" s="27"/>
      <c r="Q27" s="27"/>
      <c r="R27" s="27"/>
      <c r="S27" s="27"/>
      <c r="T27" s="27"/>
      <c r="U27" s="27"/>
      <c r="V27" s="27"/>
    </row>
    <row r="28" spans="1:28" ht="16.5" thickBot="1">
      <c r="A28" s="59" t="s">
        <v>50</v>
      </c>
      <c r="B28" s="76">
        <f t="shared" ref="B28:G28" si="27">SUM(B23:B27)</f>
        <v>224858302</v>
      </c>
      <c r="C28" s="76">
        <f t="shared" si="27"/>
        <v>221641200</v>
      </c>
      <c r="D28" s="76">
        <f t="shared" si="27"/>
        <v>341574036</v>
      </c>
      <c r="E28" s="76">
        <f t="shared" si="27"/>
        <v>577818700</v>
      </c>
      <c r="F28" s="76">
        <f t="shared" si="27"/>
        <v>507599699</v>
      </c>
      <c r="G28" s="76">
        <f t="shared" si="27"/>
        <v>518246738</v>
      </c>
      <c r="H28" s="60"/>
      <c r="I28" s="159">
        <f t="shared" si="22"/>
        <v>-1.4307241366609658E-2</v>
      </c>
      <c r="J28" s="159">
        <f t="shared" si="23"/>
        <v>0.54111255488600496</v>
      </c>
      <c r="K28" s="159">
        <f t="shared" si="24"/>
        <v>0.69163530918960126</v>
      </c>
      <c r="L28" s="159">
        <f t="shared" si="25"/>
        <v>-0.12152427915538211</v>
      </c>
      <c r="M28" s="159">
        <f t="shared" si="26"/>
        <v>2.0975266575167906E-2</v>
      </c>
      <c r="N28" s="29"/>
      <c r="O28" s="29"/>
      <c r="P28" s="29"/>
      <c r="Q28" s="29"/>
      <c r="R28" s="29"/>
      <c r="S28" s="29"/>
      <c r="T28" s="29"/>
      <c r="U28" s="29"/>
      <c r="V28" s="29"/>
    </row>
    <row r="29" spans="1:28" ht="16.5" thickBot="1">
      <c r="A29" s="45" t="s">
        <v>51</v>
      </c>
      <c r="B29" s="46">
        <v>143700000</v>
      </c>
      <c r="C29" s="46">
        <v>85585684</v>
      </c>
      <c r="D29" s="46">
        <v>48700000</v>
      </c>
      <c r="E29" s="46">
        <v>48329178</v>
      </c>
      <c r="F29" s="46">
        <v>36336498</v>
      </c>
      <c r="G29" s="46">
        <v>36336498</v>
      </c>
      <c r="H29" s="37"/>
      <c r="I29" s="156">
        <f t="shared" si="22"/>
        <v>-0.40441416840640221</v>
      </c>
      <c r="J29" s="156">
        <f t="shared" si="23"/>
        <v>-0.43097960168198224</v>
      </c>
      <c r="K29" s="156">
        <f t="shared" si="24"/>
        <v>-7.6144147843942855E-3</v>
      </c>
      <c r="L29" s="156">
        <f t="shared" si="25"/>
        <v>-0.24814574748198692</v>
      </c>
      <c r="M29" s="156">
        <f t="shared" si="26"/>
        <v>0</v>
      </c>
      <c r="N29" s="27"/>
      <c r="O29" s="37"/>
      <c r="P29" s="37"/>
      <c r="Q29" s="37"/>
      <c r="R29" s="37"/>
      <c r="S29" s="37"/>
      <c r="T29" s="37"/>
      <c r="U29" s="37"/>
      <c r="V29" s="27"/>
    </row>
    <row r="30" spans="1:28" ht="16.5" thickBot="1">
      <c r="A30" s="59" t="s">
        <v>52</v>
      </c>
      <c r="B30" s="76">
        <v>143700000</v>
      </c>
      <c r="C30" s="76">
        <v>85585684</v>
      </c>
      <c r="D30" s="76">
        <f>+D29</f>
        <v>48700000</v>
      </c>
      <c r="E30" s="76">
        <f>+E29</f>
        <v>48329178</v>
      </c>
      <c r="F30" s="76">
        <f>+F29</f>
        <v>36336498</v>
      </c>
      <c r="G30" s="76">
        <f>+G29</f>
        <v>36336498</v>
      </c>
      <c r="H30" s="37"/>
      <c r="I30" s="159">
        <f t="shared" si="22"/>
        <v>-0.40441416840640221</v>
      </c>
      <c r="J30" s="159">
        <f t="shared" si="23"/>
        <v>-0.43097960168198224</v>
      </c>
      <c r="K30" s="159">
        <f t="shared" si="24"/>
        <v>-7.6144147843942855E-3</v>
      </c>
      <c r="L30" s="159">
        <f t="shared" si="25"/>
        <v>-0.24814574748198692</v>
      </c>
      <c r="M30" s="159">
        <f t="shared" si="26"/>
        <v>0</v>
      </c>
      <c r="N30" s="27"/>
      <c r="O30" s="37"/>
      <c r="P30" s="37"/>
      <c r="Q30" s="37"/>
      <c r="R30" s="37"/>
      <c r="S30" s="37"/>
      <c r="T30" s="37"/>
      <c r="U30" s="37"/>
      <c r="V30" s="27"/>
    </row>
    <row r="31" spans="1:28" ht="16.5" thickBot="1">
      <c r="A31" s="51"/>
      <c r="B31" s="46"/>
      <c r="C31" s="46"/>
      <c r="D31" s="46"/>
      <c r="E31" s="46"/>
      <c r="F31" s="46"/>
      <c r="G31" s="46"/>
      <c r="H31" s="37"/>
      <c r="I31" s="156"/>
      <c r="J31" s="156"/>
      <c r="K31" s="156"/>
      <c r="L31" s="156"/>
      <c r="M31" s="156"/>
      <c r="N31" s="27"/>
      <c r="O31" s="27"/>
      <c r="P31" s="27"/>
      <c r="Q31" s="27"/>
      <c r="R31" s="27"/>
      <c r="S31" s="27"/>
      <c r="T31" s="27"/>
      <c r="U31" s="27"/>
      <c r="V31" s="27"/>
    </row>
    <row r="32" spans="1:28" ht="16.5" thickBot="1">
      <c r="A32" s="61" t="s">
        <v>53</v>
      </c>
      <c r="B32" s="80">
        <v>368558302</v>
      </c>
      <c r="C32" s="80">
        <v>307226884</v>
      </c>
      <c r="D32" s="80">
        <f>+D28+D30</f>
        <v>390274036</v>
      </c>
      <c r="E32" s="80">
        <f>+E28+E30</f>
        <v>626147878</v>
      </c>
      <c r="F32" s="80">
        <f>+F28+F30</f>
        <v>543936197</v>
      </c>
      <c r="G32" s="80">
        <f>+G28+G30</f>
        <v>554583236</v>
      </c>
      <c r="H32" s="37"/>
      <c r="I32" s="158">
        <f t="shared" si="22"/>
        <v>-0.16640899870436243</v>
      </c>
      <c r="J32" s="158">
        <f t="shared" si="23"/>
        <v>0.27031212541933658</v>
      </c>
      <c r="K32" s="158">
        <f t="shared" si="24"/>
        <v>0.60438005155946373</v>
      </c>
      <c r="L32" s="158">
        <f t="shared" si="25"/>
        <v>-0.13129754789331094</v>
      </c>
      <c r="M32" s="158">
        <f t="shared" si="26"/>
        <v>1.9574058609671763E-2</v>
      </c>
      <c r="N32" s="27"/>
      <c r="O32" s="27"/>
      <c r="P32" s="27"/>
      <c r="Q32" s="27"/>
      <c r="R32" s="27"/>
      <c r="S32" s="27"/>
      <c r="T32" s="27"/>
      <c r="U32" s="27"/>
      <c r="V32" s="27"/>
    </row>
    <row r="33" spans="1:22" ht="16.5" thickBot="1">
      <c r="A33" s="43"/>
      <c r="B33" s="70"/>
      <c r="C33" s="70"/>
      <c r="D33" s="70"/>
      <c r="E33" s="70"/>
      <c r="F33" s="70"/>
      <c r="G33" s="70"/>
      <c r="H33" s="37"/>
      <c r="I33" s="37"/>
      <c r="J33" s="37"/>
      <c r="K33" s="37"/>
      <c r="L33" s="37"/>
      <c r="M33" s="37"/>
      <c r="N33" s="27"/>
      <c r="O33" s="27"/>
      <c r="P33" s="27"/>
      <c r="Q33" s="27"/>
      <c r="R33" s="27"/>
      <c r="S33" s="27"/>
      <c r="T33" s="27"/>
      <c r="U33" s="27"/>
      <c r="V33" s="27"/>
    </row>
    <row r="34" spans="1:22" ht="16.5" thickBot="1">
      <c r="A34" s="54" t="s">
        <v>54</v>
      </c>
      <c r="B34" s="73"/>
      <c r="C34" s="73"/>
      <c r="D34" s="73"/>
      <c r="E34" s="73"/>
      <c r="F34" s="73"/>
      <c r="G34" s="113"/>
      <c r="H34" s="37"/>
      <c r="I34" s="101" t="s">
        <v>54</v>
      </c>
      <c r="J34" s="165"/>
      <c r="K34" s="165"/>
      <c r="L34" s="165"/>
      <c r="M34" s="166"/>
      <c r="N34" s="27"/>
      <c r="O34" s="27"/>
      <c r="P34" s="27"/>
      <c r="Q34" s="27"/>
      <c r="R34" s="27"/>
      <c r="S34" s="27"/>
      <c r="T34" s="27"/>
      <c r="U34" s="27"/>
      <c r="V34" s="27"/>
    </row>
    <row r="35" spans="1:22" ht="16.5" thickBot="1">
      <c r="A35" s="45" t="s">
        <v>55</v>
      </c>
      <c r="B35" s="46">
        <v>200000000</v>
      </c>
      <c r="C35" s="46">
        <v>340000000</v>
      </c>
      <c r="D35" s="46">
        <v>340000000</v>
      </c>
      <c r="E35" s="46">
        <v>340000000</v>
      </c>
      <c r="F35" s="48">
        <v>340000000</v>
      </c>
      <c r="G35" s="48">
        <v>340000000</v>
      </c>
      <c r="H35" s="37"/>
      <c r="I35" s="156">
        <f t="shared" ref="I35:I40" si="28">+(C35/B35)-1</f>
        <v>0.7</v>
      </c>
      <c r="J35" s="156">
        <f t="shared" ref="J35:J40" si="29">+(D35/C35)-1</f>
        <v>0</v>
      </c>
      <c r="K35" s="156">
        <f t="shared" ref="K35:K40" si="30">+(E35/D35)-1</f>
        <v>0</v>
      </c>
      <c r="L35" s="156">
        <f t="shared" ref="L35:L40" si="31">+(F35/E35)-1</f>
        <v>0</v>
      </c>
      <c r="M35" s="156">
        <f t="shared" ref="M35:M40" si="32">+(G35/F35)-1</f>
        <v>0</v>
      </c>
      <c r="N35" s="27"/>
      <c r="O35" s="27"/>
      <c r="P35" s="27"/>
      <c r="Q35" s="27"/>
      <c r="R35" s="27"/>
      <c r="S35" s="27"/>
      <c r="T35" s="27"/>
      <c r="U35" s="27"/>
      <c r="V35" s="27"/>
    </row>
    <row r="36" spans="1:22" ht="16.5" thickBot="1">
      <c r="A36" s="45" t="s">
        <v>56</v>
      </c>
      <c r="B36" s="46"/>
      <c r="C36" s="46"/>
      <c r="D36" s="46"/>
      <c r="E36" s="46"/>
      <c r="F36" s="48"/>
      <c r="G36" s="48">
        <v>10303086</v>
      </c>
      <c r="H36" s="37"/>
      <c r="I36" s="156"/>
      <c r="J36" s="156"/>
      <c r="K36" s="156"/>
      <c r="L36" s="156"/>
      <c r="M36" s="156"/>
      <c r="N36" s="27"/>
      <c r="O36" s="27"/>
      <c r="P36" s="27"/>
      <c r="Q36" s="27"/>
      <c r="R36" s="27"/>
      <c r="S36" s="27"/>
      <c r="T36" s="27"/>
      <c r="U36" s="27"/>
      <c r="V36" s="27"/>
    </row>
    <row r="37" spans="1:22" ht="16.5" thickBot="1">
      <c r="A37" s="45" t="s">
        <v>57</v>
      </c>
      <c r="B37" s="46">
        <v>-184265151</v>
      </c>
      <c r="C37" s="46">
        <v>-167275090</v>
      </c>
      <c r="D37" s="46">
        <v>219647673</v>
      </c>
      <c r="E37" s="46">
        <v>247821771</v>
      </c>
      <c r="F37" s="48">
        <v>248771771</v>
      </c>
      <c r="G37" s="48">
        <v>156044000</v>
      </c>
      <c r="H37" s="37"/>
      <c r="I37" s="156">
        <f t="shared" si="28"/>
        <v>-9.2204417969407593E-2</v>
      </c>
      <c r="J37" s="156">
        <f t="shared" si="29"/>
        <v>-2.3130925411548127</v>
      </c>
      <c r="K37" s="156">
        <f t="shared" si="30"/>
        <v>0.12826950367919454</v>
      </c>
      <c r="L37" s="156">
        <f t="shared" si="31"/>
        <v>3.8334000930047019E-3</v>
      </c>
      <c r="M37" s="156">
        <f t="shared" si="32"/>
        <v>-0.3727423357853572</v>
      </c>
      <c r="N37" s="27"/>
      <c r="O37" s="27"/>
      <c r="P37" s="27"/>
      <c r="Q37" s="27"/>
      <c r="R37" s="27"/>
      <c r="S37" s="27"/>
      <c r="T37" s="27"/>
      <c r="U37" s="27"/>
      <c r="V37" s="27"/>
    </row>
    <row r="38" spans="1:22" ht="16.5" thickBot="1">
      <c r="A38" s="45" t="s">
        <v>58</v>
      </c>
      <c r="B38" s="46"/>
      <c r="C38" s="46"/>
      <c r="D38" s="46"/>
      <c r="E38" s="46"/>
      <c r="F38" s="48">
        <v>103030854</v>
      </c>
      <c r="G38" s="48">
        <v>234424397</v>
      </c>
      <c r="H38" s="37"/>
      <c r="I38" s="156"/>
      <c r="J38" s="156"/>
      <c r="K38" s="156"/>
      <c r="L38" s="156"/>
      <c r="M38" s="156">
        <f t="shared" si="32"/>
        <v>1.2752834505283244</v>
      </c>
      <c r="N38" s="27"/>
      <c r="O38" s="27"/>
      <c r="P38" s="27"/>
      <c r="Q38" s="27"/>
      <c r="R38" s="27"/>
      <c r="S38" s="27"/>
      <c r="T38" s="27"/>
      <c r="U38" s="27"/>
      <c r="V38" s="27"/>
    </row>
    <row r="39" spans="1:22" ht="16.5" thickBot="1">
      <c r="A39" s="45" t="s">
        <v>59</v>
      </c>
      <c r="B39" s="46">
        <v>0</v>
      </c>
      <c r="C39" s="46">
        <v>0</v>
      </c>
      <c r="D39" s="46">
        <v>0</v>
      </c>
      <c r="E39" s="46"/>
      <c r="F39" s="46"/>
      <c r="G39" s="46"/>
      <c r="H39" s="37"/>
      <c r="I39" s="156"/>
      <c r="J39" s="156"/>
      <c r="K39" s="156"/>
      <c r="L39" s="156"/>
      <c r="M39" s="156"/>
      <c r="N39" s="27"/>
      <c r="O39" s="27"/>
      <c r="P39" s="27"/>
      <c r="Q39" s="27"/>
      <c r="R39" s="27"/>
      <c r="S39" s="27"/>
      <c r="T39" s="27"/>
      <c r="U39" s="27"/>
      <c r="V39" s="27"/>
    </row>
    <row r="40" spans="1:22" ht="16.5" thickBot="1">
      <c r="A40" s="59" t="s">
        <v>60</v>
      </c>
      <c r="B40" s="76">
        <f>+B35+B37+B38+B39</f>
        <v>15734849</v>
      </c>
      <c r="C40" s="76">
        <f>+C35+C37+C38+C39</f>
        <v>172724910</v>
      </c>
      <c r="D40" s="76">
        <f>+D35-D37+D39</f>
        <v>120352327</v>
      </c>
      <c r="E40" s="76">
        <f>+E35-E37+E39</f>
        <v>92178229</v>
      </c>
      <c r="F40" s="76">
        <f>+F35-F37+F38+F39</f>
        <v>194259083</v>
      </c>
      <c r="G40" s="76">
        <f>+G35-G37+G38+G39+G36</f>
        <v>428683483</v>
      </c>
      <c r="H40" s="37"/>
      <c r="I40" s="160">
        <f t="shared" si="28"/>
        <v>9.9772206902017295</v>
      </c>
      <c r="J40" s="160">
        <f t="shared" si="29"/>
        <v>-0.3032138386987725</v>
      </c>
      <c r="K40" s="160">
        <f t="shared" si="30"/>
        <v>-0.2340968280571758</v>
      </c>
      <c r="L40" s="160">
        <f t="shared" si="31"/>
        <v>1.107429108884268</v>
      </c>
      <c r="M40" s="160">
        <f t="shared" si="32"/>
        <v>1.2067615906536528</v>
      </c>
      <c r="N40" s="27"/>
      <c r="O40" s="27"/>
      <c r="P40" s="27"/>
      <c r="Q40" s="27"/>
      <c r="R40" s="27"/>
      <c r="S40" s="27"/>
      <c r="T40" s="27"/>
      <c r="U40" s="27"/>
      <c r="V40" s="27"/>
    </row>
    <row r="41" spans="1:22" ht="16.5" thickBot="1">
      <c r="A41" s="37"/>
      <c r="B41" s="52"/>
      <c r="C41" s="52"/>
      <c r="D41" s="52"/>
      <c r="E41" s="52"/>
      <c r="F41" s="52"/>
      <c r="G41" s="52"/>
      <c r="H41" s="37"/>
      <c r="I41" s="37"/>
      <c r="J41" s="37"/>
      <c r="K41" s="37"/>
      <c r="L41" s="37"/>
      <c r="M41" s="37"/>
      <c r="N41" s="27"/>
      <c r="O41" s="27"/>
      <c r="P41" s="27"/>
      <c r="Q41" s="27"/>
      <c r="R41" s="27"/>
      <c r="S41" s="27"/>
      <c r="T41" s="27"/>
      <c r="U41" s="27"/>
      <c r="V41" s="27"/>
    </row>
    <row r="42" spans="1:22" ht="16.5" thickBot="1">
      <c r="A42" s="61" t="s">
        <v>61</v>
      </c>
      <c r="B42" s="80">
        <v>384293151</v>
      </c>
      <c r="C42" s="80">
        <v>479951794</v>
      </c>
      <c r="D42" s="80">
        <f>+D32+D40</f>
        <v>510626363</v>
      </c>
      <c r="E42" s="80">
        <f>+E32+E40</f>
        <v>718326107</v>
      </c>
      <c r="F42" s="80">
        <f>+F32+F40</f>
        <v>738195280</v>
      </c>
      <c r="G42" s="80">
        <f>+G32+G40</f>
        <v>983266719</v>
      </c>
      <c r="H42" s="60"/>
      <c r="I42" s="157">
        <f t="shared" ref="I42" si="33">+(C42/B42)-1</f>
        <v>0.24892101967229707</v>
      </c>
      <c r="J42" s="157">
        <f t="shared" ref="J42" si="34">+(D42/C42)-1</f>
        <v>6.391177068920384E-2</v>
      </c>
      <c r="K42" s="157">
        <f t="shared" ref="K42" si="35">+(E42/D42)-1</f>
        <v>0.4067548388605231</v>
      </c>
      <c r="L42" s="157">
        <f t="shared" ref="L42" si="36">+(F42/E42)-1</f>
        <v>2.7660379883700958E-2</v>
      </c>
      <c r="M42" s="157">
        <f t="shared" ref="M42" si="37">+(G42/F42)-1</f>
        <v>0.33198727442418763</v>
      </c>
      <c r="N42" s="29"/>
      <c r="O42" s="29"/>
      <c r="P42" s="29"/>
      <c r="Q42" s="29"/>
      <c r="R42" s="29"/>
      <c r="S42" s="29"/>
      <c r="T42" s="29"/>
      <c r="U42" s="29"/>
      <c r="V42" s="29"/>
    </row>
    <row r="43" spans="1:22" ht="15.75">
      <c r="A43" s="37"/>
      <c r="B43" s="63"/>
      <c r="C43" s="63"/>
      <c r="D43" s="37"/>
      <c r="E43" s="37"/>
      <c r="F43" s="37"/>
      <c r="G43" s="37"/>
      <c r="H43" s="37"/>
      <c r="I43" s="37"/>
      <c r="J43" s="37"/>
      <c r="K43" s="37"/>
      <c r="L43" s="37"/>
      <c r="M43" s="37"/>
      <c r="N43" s="27"/>
      <c r="O43" s="27"/>
      <c r="P43" s="27"/>
      <c r="Q43" s="27"/>
      <c r="R43" s="27"/>
      <c r="S43" s="27"/>
      <c r="T43" s="27"/>
      <c r="U43" s="27"/>
      <c r="V43" s="27"/>
    </row>
    <row r="44" spans="1:22" ht="15.75">
      <c r="A44" s="37"/>
      <c r="B44" s="37"/>
      <c r="C44" s="37"/>
      <c r="D44" s="37"/>
      <c r="E44" s="37"/>
      <c r="F44" s="37"/>
      <c r="G44" s="37"/>
      <c r="H44" s="37"/>
      <c r="I44" s="37"/>
      <c r="J44" s="37"/>
      <c r="K44" s="37"/>
      <c r="L44" s="37"/>
      <c r="M44" s="37"/>
      <c r="N44" s="27"/>
      <c r="O44" s="27"/>
      <c r="P44" s="27"/>
      <c r="Q44" s="27"/>
      <c r="R44" s="27"/>
      <c r="S44" s="27"/>
      <c r="T44" s="27"/>
      <c r="U44" s="27"/>
      <c r="V44" s="27"/>
    </row>
    <row r="45" spans="1:22" ht="15.75">
      <c r="A45" s="27"/>
      <c r="B45" s="27"/>
      <c r="C45" s="27"/>
      <c r="D45" s="27"/>
      <c r="E45" s="27"/>
      <c r="F45" s="27"/>
      <c r="G45" s="27"/>
      <c r="H45" s="27"/>
      <c r="I45" s="27"/>
      <c r="J45" s="27"/>
      <c r="K45" s="27"/>
      <c r="L45" s="27"/>
      <c r="M45" s="27"/>
      <c r="N45" s="27"/>
      <c r="O45" s="27"/>
      <c r="P45" s="27"/>
      <c r="Q45" s="27"/>
      <c r="R45" s="27"/>
      <c r="S45" s="27"/>
      <c r="T45" s="27"/>
      <c r="U45" s="27"/>
      <c r="V45" s="27"/>
    </row>
    <row r="46" spans="1:22" ht="16.5" thickBot="1">
      <c r="A46" s="27"/>
      <c r="B46" s="27"/>
      <c r="C46" s="27"/>
      <c r="D46" s="27"/>
      <c r="E46" s="27"/>
      <c r="F46" s="27"/>
      <c r="G46" s="27"/>
      <c r="H46" s="27"/>
      <c r="I46" s="27"/>
      <c r="J46" s="27"/>
      <c r="K46" s="27"/>
      <c r="L46" s="27"/>
      <c r="M46" s="27"/>
      <c r="N46" s="27"/>
      <c r="O46" s="27"/>
      <c r="P46" s="27"/>
      <c r="Q46" s="27"/>
      <c r="R46" s="27"/>
      <c r="S46" s="27"/>
      <c r="T46" s="27"/>
      <c r="U46" s="27"/>
      <c r="V46" s="27"/>
    </row>
    <row r="47" spans="1:22" ht="16.5" thickBot="1">
      <c r="A47" s="454" t="s">
        <v>166</v>
      </c>
      <c r="B47" s="455"/>
      <c r="C47" s="455"/>
      <c r="D47" s="455"/>
      <c r="E47" s="455"/>
      <c r="F47" s="455"/>
      <c r="G47" s="456"/>
      <c r="H47" s="27"/>
      <c r="I47" s="27"/>
      <c r="J47" s="27"/>
      <c r="K47" s="27"/>
      <c r="L47" s="27"/>
      <c r="M47" s="27"/>
      <c r="N47" s="27"/>
      <c r="V47" s="27"/>
    </row>
    <row r="48" spans="1:22" ht="15.75">
      <c r="A48" s="169"/>
      <c r="B48" s="170">
        <v>2015</v>
      </c>
      <c r="C48" s="170">
        <v>2016</v>
      </c>
      <c r="D48" s="170">
        <v>2017</v>
      </c>
      <c r="E48" s="170">
        <v>2018</v>
      </c>
      <c r="F48" s="170">
        <v>2019</v>
      </c>
      <c r="G48" s="170">
        <v>2020</v>
      </c>
      <c r="H48" s="27"/>
      <c r="I48" s="27"/>
      <c r="J48" s="27"/>
      <c r="K48" s="27"/>
      <c r="L48" s="27"/>
      <c r="M48" s="27"/>
      <c r="N48" s="27"/>
      <c r="V48" s="27"/>
    </row>
    <row r="49" spans="1:22" ht="15.75">
      <c r="A49" s="171" t="s">
        <v>41</v>
      </c>
      <c r="B49" s="168">
        <v>384293152</v>
      </c>
      <c r="C49" s="168">
        <v>479951794</v>
      </c>
      <c r="D49" s="168">
        <v>510626363</v>
      </c>
      <c r="E49" s="168">
        <v>718326106</v>
      </c>
      <c r="F49" s="168">
        <v>738195504</v>
      </c>
      <c r="G49" s="172">
        <v>983266719</v>
      </c>
      <c r="H49" s="27"/>
      <c r="I49" s="27"/>
      <c r="J49" s="27"/>
      <c r="K49" s="27"/>
      <c r="L49" s="27"/>
      <c r="M49" s="27"/>
      <c r="N49" s="27"/>
      <c r="V49" s="27"/>
    </row>
    <row r="50" spans="1:22" ht="15.75">
      <c r="A50" s="176" t="s">
        <v>53</v>
      </c>
      <c r="B50" s="177">
        <v>368558302</v>
      </c>
      <c r="C50" s="177">
        <v>307226884</v>
      </c>
      <c r="D50" s="177">
        <v>390274036</v>
      </c>
      <c r="E50" s="177">
        <v>626147878</v>
      </c>
      <c r="F50" s="177">
        <v>543936197</v>
      </c>
      <c r="G50" s="178">
        <v>554583236</v>
      </c>
      <c r="H50" s="27"/>
      <c r="I50" s="27"/>
      <c r="J50" s="27"/>
      <c r="K50" s="27"/>
      <c r="L50" s="27"/>
      <c r="M50" s="27"/>
      <c r="N50" s="27"/>
      <c r="V50" s="27"/>
    </row>
    <row r="51" spans="1:22" ht="16.5" thickBot="1">
      <c r="A51" s="173" t="s">
        <v>60</v>
      </c>
      <c r="B51" s="174">
        <v>15734849</v>
      </c>
      <c r="C51" s="174">
        <v>172724910</v>
      </c>
      <c r="D51" s="174">
        <v>120352327</v>
      </c>
      <c r="E51" s="174">
        <v>92178229</v>
      </c>
      <c r="F51" s="174">
        <v>194259083</v>
      </c>
      <c r="G51" s="175">
        <v>428683483</v>
      </c>
      <c r="H51" s="27"/>
      <c r="I51" s="27"/>
      <c r="J51" s="27"/>
      <c r="K51" s="27"/>
      <c r="L51" s="27"/>
      <c r="M51" s="27"/>
      <c r="N51" s="27"/>
      <c r="V51" s="27"/>
    </row>
    <row r="52" spans="1:22" ht="15.75">
      <c r="A52" s="27"/>
      <c r="B52" s="27"/>
      <c r="C52" s="27"/>
      <c r="D52" s="27"/>
      <c r="E52" s="27"/>
      <c r="F52" s="27"/>
      <c r="G52" s="27"/>
      <c r="H52" s="27"/>
      <c r="I52" s="27"/>
      <c r="J52" s="27"/>
      <c r="K52" s="27"/>
      <c r="L52" s="27"/>
      <c r="M52" s="27"/>
      <c r="N52" s="37"/>
      <c r="V52" s="27"/>
    </row>
    <row r="53" spans="1:22" ht="15.75">
      <c r="A53" s="27"/>
      <c r="B53" s="27"/>
      <c r="C53" s="27"/>
      <c r="D53" s="27"/>
      <c r="E53" s="27"/>
      <c r="F53" s="27"/>
      <c r="G53" s="27"/>
      <c r="H53" s="27"/>
      <c r="I53" s="27"/>
      <c r="J53" s="27"/>
      <c r="K53" s="27"/>
      <c r="L53" s="27"/>
      <c r="M53" s="27"/>
      <c r="N53" s="37"/>
      <c r="V53" s="27"/>
    </row>
    <row r="54" spans="1:22" ht="15.75">
      <c r="A54" s="27"/>
      <c r="B54" s="27"/>
      <c r="C54" s="27"/>
      <c r="D54" s="27"/>
      <c r="E54" s="27"/>
      <c r="F54" s="27"/>
      <c r="G54" s="27"/>
      <c r="H54" s="27"/>
      <c r="I54" s="27"/>
      <c r="J54" s="27"/>
      <c r="K54" s="27"/>
      <c r="L54" s="27"/>
      <c r="M54" s="27"/>
      <c r="N54" s="37"/>
      <c r="V54" s="27"/>
    </row>
    <row r="55" spans="1:22" ht="15.75">
      <c r="A55" s="27"/>
      <c r="B55" s="27"/>
      <c r="C55" s="27"/>
      <c r="D55" s="27"/>
      <c r="E55" s="27"/>
      <c r="F55" s="27"/>
      <c r="G55" s="27"/>
      <c r="H55" s="27"/>
      <c r="I55" s="27"/>
      <c r="J55" s="27"/>
      <c r="K55" s="27"/>
      <c r="L55" s="27"/>
      <c r="M55" s="27"/>
      <c r="N55" s="37"/>
      <c r="O55" s="37"/>
      <c r="P55" s="37"/>
      <c r="Q55" s="37"/>
      <c r="R55" s="37"/>
      <c r="S55" s="37"/>
      <c r="T55" s="37"/>
      <c r="U55" s="37"/>
      <c r="V55" s="27"/>
    </row>
    <row r="56" spans="1:22" ht="15.75">
      <c r="A56" s="27"/>
      <c r="B56" s="27"/>
      <c r="C56" s="27"/>
      <c r="D56" s="27"/>
      <c r="E56" s="27"/>
      <c r="F56" s="27"/>
      <c r="G56" s="27"/>
      <c r="H56" s="27"/>
      <c r="I56" s="27"/>
      <c r="J56" s="27"/>
      <c r="K56" s="27"/>
      <c r="L56" s="27"/>
      <c r="M56" s="27"/>
      <c r="N56" s="37"/>
      <c r="O56" s="37"/>
      <c r="P56" s="37"/>
      <c r="Q56" s="37"/>
      <c r="R56" s="37"/>
      <c r="S56" s="37"/>
      <c r="T56" s="37"/>
      <c r="U56" s="37"/>
      <c r="V56" s="27"/>
    </row>
    <row r="57" spans="1:22" ht="15.75">
      <c r="A57" s="27"/>
      <c r="B57" s="27"/>
      <c r="C57" s="27"/>
      <c r="D57" s="27"/>
      <c r="E57" s="27"/>
      <c r="F57" s="27"/>
      <c r="G57" s="27"/>
      <c r="H57" s="27"/>
      <c r="I57" s="27"/>
      <c r="J57" s="27"/>
      <c r="K57" s="27"/>
      <c r="L57" s="27"/>
      <c r="M57" s="27"/>
      <c r="N57" s="37"/>
      <c r="O57" s="37"/>
      <c r="P57" s="37"/>
      <c r="Q57" s="37"/>
      <c r="R57" s="37"/>
      <c r="S57" s="37"/>
      <c r="T57" s="37"/>
      <c r="U57" s="37"/>
      <c r="V57" s="27"/>
    </row>
    <row r="58" spans="1:22" ht="15.75">
      <c r="A58" s="27"/>
      <c r="B58" s="27"/>
      <c r="C58" s="27"/>
      <c r="D58" s="27"/>
      <c r="E58" s="27"/>
      <c r="F58" s="27"/>
      <c r="G58" s="27"/>
      <c r="H58" s="27"/>
      <c r="I58" s="27"/>
      <c r="J58" s="27"/>
      <c r="K58" s="27"/>
      <c r="L58" s="27"/>
      <c r="M58" s="27"/>
      <c r="N58" s="37"/>
      <c r="O58" s="37"/>
      <c r="P58" s="37"/>
      <c r="Q58" s="37"/>
      <c r="R58" s="37"/>
      <c r="S58" s="37"/>
      <c r="T58" s="37"/>
      <c r="U58" s="37"/>
      <c r="V58" s="27"/>
    </row>
    <row r="59" spans="1:22" ht="15.75">
      <c r="A59" s="27"/>
      <c r="B59" s="27"/>
      <c r="C59" s="27"/>
      <c r="D59" s="27"/>
      <c r="E59" s="27"/>
      <c r="F59" s="27"/>
      <c r="G59" s="27"/>
      <c r="H59" s="27"/>
      <c r="I59" s="27"/>
      <c r="J59" s="27"/>
      <c r="K59" s="27"/>
      <c r="L59" s="27"/>
      <c r="M59" s="27"/>
      <c r="N59" s="37"/>
      <c r="O59" s="37"/>
      <c r="P59" s="37"/>
      <c r="Q59" s="37"/>
      <c r="R59" s="37"/>
      <c r="S59" s="37"/>
      <c r="T59" s="37"/>
      <c r="U59" s="37"/>
      <c r="V59" s="27"/>
    </row>
    <row r="60" spans="1:22" ht="15.75">
      <c r="A60" s="27"/>
      <c r="B60" s="27"/>
      <c r="C60" s="27"/>
      <c r="D60" s="27"/>
      <c r="E60" s="27"/>
      <c r="F60" s="27"/>
      <c r="G60" s="27"/>
      <c r="H60" s="27"/>
      <c r="I60" s="27"/>
      <c r="J60" s="27"/>
      <c r="K60" s="27"/>
      <c r="L60" s="27"/>
      <c r="M60" s="27"/>
      <c r="N60" s="37"/>
      <c r="O60" s="37"/>
      <c r="P60" s="37"/>
      <c r="Q60" s="37"/>
      <c r="R60" s="37"/>
      <c r="S60" s="37"/>
      <c r="T60" s="37"/>
      <c r="U60" s="37"/>
      <c r="V60" s="27"/>
    </row>
    <row r="61" spans="1:22" ht="15.75">
      <c r="A61" s="27"/>
      <c r="B61" s="27"/>
      <c r="C61" s="27"/>
      <c r="D61" s="27"/>
      <c r="E61" s="27"/>
      <c r="F61" s="27"/>
      <c r="G61" s="27"/>
      <c r="H61" s="27"/>
      <c r="I61" s="27"/>
      <c r="J61" s="27"/>
      <c r="K61" s="27"/>
      <c r="L61" s="27"/>
      <c r="M61" s="27"/>
      <c r="N61" s="37"/>
      <c r="O61" s="37"/>
      <c r="P61" s="37"/>
      <c r="Q61" s="37"/>
      <c r="R61" s="37"/>
      <c r="S61" s="37"/>
      <c r="T61" s="37"/>
      <c r="U61" s="37"/>
      <c r="V61" s="27"/>
    </row>
    <row r="62" spans="1:22" ht="15.75">
      <c r="A62" s="27"/>
      <c r="B62" s="27"/>
      <c r="C62" s="27"/>
      <c r="D62" s="27"/>
      <c r="E62" s="27"/>
      <c r="F62" s="27"/>
      <c r="G62" s="27"/>
      <c r="H62" s="27"/>
      <c r="I62" s="27"/>
      <c r="J62" s="27"/>
      <c r="K62" s="27"/>
      <c r="L62" s="27"/>
      <c r="M62" s="27"/>
      <c r="N62" s="37"/>
      <c r="O62" s="37"/>
      <c r="P62" s="37"/>
      <c r="Q62" s="37"/>
      <c r="R62" s="37"/>
      <c r="S62" s="37"/>
      <c r="T62" s="37"/>
      <c r="U62" s="37"/>
      <c r="V62" s="27"/>
    </row>
    <row r="63" spans="1:22" ht="15.75">
      <c r="A63" s="27"/>
      <c r="B63" s="27"/>
      <c r="C63" s="27"/>
      <c r="D63" s="27"/>
      <c r="E63" s="27"/>
      <c r="F63" s="27"/>
      <c r="G63" s="27"/>
      <c r="H63" s="27"/>
      <c r="I63" s="27"/>
      <c r="J63" s="27"/>
      <c r="K63" s="27"/>
      <c r="L63" s="27"/>
      <c r="M63" s="27"/>
      <c r="N63" s="37"/>
      <c r="O63" s="37"/>
      <c r="P63" s="37"/>
      <c r="Q63" s="37"/>
      <c r="R63" s="37"/>
      <c r="S63" s="37"/>
      <c r="T63" s="37"/>
      <c r="U63" s="37"/>
      <c r="V63" s="27"/>
    </row>
    <row r="64" spans="1:22" ht="15.75">
      <c r="A64" s="27"/>
      <c r="B64" s="27"/>
      <c r="C64" s="27"/>
      <c r="D64" s="27"/>
      <c r="E64" s="27"/>
      <c r="F64" s="27"/>
      <c r="G64" s="27"/>
      <c r="H64" s="27"/>
      <c r="I64" s="27"/>
      <c r="J64" s="27"/>
      <c r="K64" s="27"/>
      <c r="L64" s="27"/>
      <c r="M64" s="27"/>
      <c r="N64" s="37"/>
      <c r="O64" s="37"/>
      <c r="P64" s="37"/>
      <c r="Q64" s="37"/>
      <c r="R64" s="37"/>
      <c r="S64" s="37"/>
      <c r="T64" s="37"/>
      <c r="U64" s="37"/>
      <c r="V64" s="27"/>
    </row>
    <row r="65" spans="1:22" ht="15.75">
      <c r="A65" s="27"/>
      <c r="B65" s="27"/>
      <c r="C65" s="27"/>
      <c r="D65" s="27"/>
      <c r="E65" s="27"/>
      <c r="F65" s="27"/>
      <c r="G65" s="27"/>
      <c r="H65" s="27"/>
      <c r="I65" s="27"/>
      <c r="J65" s="27"/>
      <c r="K65" s="27"/>
      <c r="L65" s="27"/>
      <c r="M65" s="27"/>
      <c r="N65" s="37"/>
      <c r="O65" s="37"/>
      <c r="P65" s="37"/>
      <c r="Q65" s="37"/>
      <c r="R65" s="37"/>
      <c r="S65" s="37"/>
      <c r="T65" s="37"/>
      <c r="U65" s="37"/>
      <c r="V65" s="27"/>
    </row>
    <row r="66" spans="1:22" ht="15.75">
      <c r="A66" s="27"/>
      <c r="B66" s="27"/>
      <c r="C66" s="27"/>
      <c r="D66" s="27"/>
      <c r="E66" s="27"/>
      <c r="F66" s="27"/>
      <c r="G66" s="27"/>
      <c r="H66" s="27"/>
      <c r="I66" s="27"/>
      <c r="J66" s="27"/>
      <c r="K66" s="27"/>
      <c r="L66" s="27"/>
      <c r="M66" s="27"/>
      <c r="N66" s="37"/>
      <c r="O66" s="37"/>
      <c r="P66" s="37"/>
      <c r="Q66" s="37"/>
      <c r="R66" s="37"/>
      <c r="S66" s="37"/>
      <c r="T66" s="37"/>
      <c r="U66" s="37"/>
      <c r="V66" s="27"/>
    </row>
    <row r="67" spans="1:22" ht="15.75">
      <c r="A67" s="27"/>
      <c r="B67" s="27"/>
      <c r="C67" s="27"/>
      <c r="D67" s="27"/>
      <c r="E67" s="27"/>
      <c r="F67" s="27"/>
      <c r="G67" s="27"/>
      <c r="H67" s="27"/>
      <c r="I67" s="27"/>
      <c r="J67" s="27"/>
      <c r="K67" s="27"/>
      <c r="L67" s="27"/>
      <c r="M67" s="27"/>
      <c r="N67" s="37"/>
      <c r="O67" s="37"/>
      <c r="P67" s="37"/>
      <c r="Q67" s="37"/>
      <c r="R67" s="37"/>
      <c r="S67" s="37"/>
      <c r="T67" s="37"/>
      <c r="U67" s="37"/>
      <c r="V67" s="27"/>
    </row>
    <row r="68" spans="1:22" ht="15.75">
      <c r="A68" s="27"/>
      <c r="B68" s="27"/>
      <c r="C68" s="27"/>
      <c r="D68" s="27"/>
      <c r="E68" s="27"/>
      <c r="F68" s="27"/>
      <c r="G68" s="27"/>
      <c r="H68" s="27"/>
      <c r="I68" s="27"/>
      <c r="J68" s="27"/>
      <c r="K68" s="27"/>
      <c r="L68" s="27"/>
      <c r="M68" s="27"/>
      <c r="N68" s="37"/>
      <c r="O68" s="37"/>
      <c r="P68" s="37"/>
      <c r="Q68" s="37"/>
      <c r="R68" s="37"/>
      <c r="S68" s="37"/>
      <c r="T68" s="37"/>
      <c r="U68" s="37"/>
      <c r="V68" s="27"/>
    </row>
    <row r="69" spans="1:22" ht="15.75">
      <c r="A69" s="27"/>
      <c r="B69" s="27"/>
      <c r="C69" s="27"/>
      <c r="D69" s="27"/>
      <c r="E69" s="27"/>
      <c r="F69" s="27"/>
      <c r="G69" s="27"/>
      <c r="H69" s="27"/>
      <c r="I69" s="27"/>
      <c r="J69" s="27"/>
      <c r="K69" s="27"/>
      <c r="L69" s="27"/>
      <c r="M69" s="27"/>
      <c r="N69" s="37"/>
      <c r="O69" s="37"/>
      <c r="P69" s="37"/>
      <c r="Q69" s="37"/>
      <c r="R69" s="37"/>
      <c r="S69" s="37"/>
      <c r="T69" s="37"/>
      <c r="U69" s="37"/>
      <c r="V69" s="27"/>
    </row>
    <row r="70" spans="1:22" ht="15.75">
      <c r="A70" s="27"/>
      <c r="B70" s="27"/>
      <c r="C70" s="27"/>
      <c r="D70" s="27"/>
      <c r="E70" s="27"/>
      <c r="F70" s="27"/>
      <c r="G70" s="27"/>
      <c r="H70" s="27"/>
      <c r="I70" s="27"/>
      <c r="J70" s="27"/>
      <c r="K70" s="27"/>
      <c r="L70" s="27"/>
      <c r="M70" s="27"/>
      <c r="N70" s="37"/>
      <c r="O70" s="37"/>
      <c r="P70" s="37"/>
      <c r="Q70" s="37"/>
      <c r="R70" s="37"/>
      <c r="S70" s="37"/>
      <c r="T70" s="37"/>
      <c r="U70" s="37"/>
      <c r="V70" s="27"/>
    </row>
    <row r="71" spans="1:22" ht="15.75">
      <c r="A71" s="27"/>
      <c r="B71" s="27"/>
      <c r="C71" s="27"/>
      <c r="D71" s="27"/>
      <c r="E71" s="27"/>
      <c r="F71" s="27"/>
      <c r="G71" s="27"/>
      <c r="H71" s="27"/>
      <c r="I71" s="27"/>
      <c r="J71" s="27"/>
      <c r="K71" s="27"/>
      <c r="L71" s="27"/>
      <c r="M71" s="27"/>
      <c r="N71" s="37"/>
      <c r="O71" s="37"/>
      <c r="P71" s="37"/>
      <c r="Q71" s="37"/>
      <c r="R71" s="37"/>
      <c r="S71" s="37"/>
      <c r="T71" s="37"/>
      <c r="U71" s="37"/>
      <c r="V71" s="27"/>
    </row>
    <row r="72" spans="1:22" ht="15.75">
      <c r="A72" s="27"/>
      <c r="B72" s="27"/>
      <c r="C72" s="27"/>
      <c r="D72" s="27"/>
      <c r="E72" s="27"/>
      <c r="F72" s="27"/>
      <c r="G72" s="27"/>
      <c r="H72" s="27"/>
      <c r="I72" s="27"/>
      <c r="J72" s="27"/>
      <c r="K72" s="27"/>
      <c r="L72" s="27"/>
      <c r="M72" s="27"/>
      <c r="N72" s="37"/>
      <c r="O72" s="37"/>
      <c r="P72" s="37"/>
      <c r="Q72" s="37"/>
      <c r="R72" s="37"/>
      <c r="S72" s="37"/>
      <c r="T72" s="37"/>
      <c r="U72" s="37"/>
      <c r="V72" s="27"/>
    </row>
    <row r="73" spans="1:22" ht="15.75">
      <c r="A73" s="27"/>
      <c r="B73" s="27"/>
      <c r="C73" s="27"/>
      <c r="D73" s="27"/>
      <c r="E73" s="27"/>
      <c r="F73" s="27"/>
      <c r="G73" s="27"/>
      <c r="H73" s="27"/>
      <c r="I73" s="27"/>
      <c r="J73" s="27"/>
      <c r="K73" s="27"/>
      <c r="L73" s="27"/>
      <c r="M73" s="27"/>
      <c r="N73" s="37"/>
      <c r="O73" s="37"/>
      <c r="P73" s="37"/>
      <c r="Q73" s="37"/>
      <c r="R73" s="37"/>
      <c r="S73" s="37"/>
      <c r="T73" s="37"/>
      <c r="U73" s="37"/>
      <c r="V73" s="27"/>
    </row>
    <row r="74" spans="1:22" ht="16.5" thickBot="1">
      <c r="A74" s="27"/>
      <c r="B74" s="27"/>
      <c r="C74" s="27"/>
      <c r="D74" s="27"/>
      <c r="E74" s="27"/>
      <c r="F74" s="27"/>
      <c r="G74" s="27"/>
      <c r="H74" s="27"/>
      <c r="I74" s="27"/>
      <c r="J74" s="27"/>
      <c r="K74" s="27"/>
      <c r="L74" s="27"/>
      <c r="M74" s="27"/>
      <c r="N74" s="37"/>
      <c r="O74" s="37"/>
      <c r="P74" s="37"/>
      <c r="Q74" s="37"/>
      <c r="R74" s="37"/>
      <c r="S74" s="37"/>
      <c r="T74" s="37"/>
      <c r="U74" s="37"/>
      <c r="V74" s="27"/>
    </row>
    <row r="75" spans="1:22" ht="16.5" thickBot="1">
      <c r="A75" s="454" t="s">
        <v>167</v>
      </c>
      <c r="B75" s="455"/>
      <c r="C75" s="455"/>
      <c r="D75" s="455"/>
      <c r="E75" s="455"/>
      <c r="F75" s="455"/>
      <c r="G75" s="456"/>
      <c r="H75" s="27"/>
      <c r="I75" s="27"/>
      <c r="J75" s="27"/>
      <c r="K75" s="27"/>
      <c r="L75" s="27"/>
      <c r="M75" s="27"/>
      <c r="N75" s="37"/>
      <c r="O75" s="37"/>
      <c r="P75" s="37"/>
      <c r="Q75" s="37"/>
      <c r="R75" s="37"/>
      <c r="S75" s="37"/>
      <c r="T75" s="37"/>
      <c r="U75" s="37"/>
      <c r="V75" s="27"/>
    </row>
    <row r="76" spans="1:22" ht="15.75">
      <c r="A76" s="169"/>
      <c r="B76" s="170">
        <v>2015</v>
      </c>
      <c r="C76" s="170">
        <v>2016</v>
      </c>
      <c r="D76" s="170">
        <v>2017</v>
      </c>
      <c r="E76" s="170">
        <v>2018</v>
      </c>
      <c r="F76" s="170">
        <v>2019</v>
      </c>
      <c r="G76" s="170">
        <v>2020</v>
      </c>
      <c r="H76" s="37"/>
      <c r="I76" s="37"/>
      <c r="J76" s="37"/>
      <c r="K76" s="37"/>
      <c r="L76" s="37"/>
      <c r="M76" s="37"/>
      <c r="N76" s="37"/>
      <c r="O76" s="37"/>
      <c r="P76" s="37"/>
      <c r="Q76" s="37"/>
      <c r="R76" s="37"/>
      <c r="S76" s="37"/>
      <c r="T76" s="37"/>
      <c r="U76" s="37"/>
      <c r="V76" s="27"/>
    </row>
    <row r="77" spans="1:22" ht="15.75">
      <c r="A77" s="171" t="s">
        <v>63</v>
      </c>
      <c r="B77" s="168">
        <v>904879380</v>
      </c>
      <c r="C77" s="168">
        <v>1043977031</v>
      </c>
      <c r="D77" s="168">
        <v>1262392367</v>
      </c>
      <c r="E77" s="168">
        <v>1860941447</v>
      </c>
      <c r="F77" s="168">
        <v>2869401050</v>
      </c>
      <c r="G77" s="172">
        <v>3417084270</v>
      </c>
      <c r="H77" s="37"/>
      <c r="I77" s="37"/>
      <c r="J77" s="37"/>
      <c r="K77" s="37"/>
      <c r="L77" s="37"/>
      <c r="M77" s="37"/>
      <c r="N77" s="37"/>
      <c r="O77" s="37"/>
      <c r="P77" s="37"/>
      <c r="Q77" s="37"/>
      <c r="R77" s="37"/>
      <c r="S77" s="37"/>
      <c r="T77" s="37"/>
      <c r="U77" s="37"/>
      <c r="V77" s="27"/>
    </row>
    <row r="78" spans="1:22" ht="15.75">
      <c r="A78" s="176" t="s">
        <v>65</v>
      </c>
      <c r="B78" s="177">
        <v>465266482</v>
      </c>
      <c r="C78" s="177">
        <v>425205970</v>
      </c>
      <c r="D78" s="177">
        <v>1262392367</v>
      </c>
      <c r="E78" s="177">
        <v>1860941447</v>
      </c>
      <c r="F78" s="177">
        <v>1364844587</v>
      </c>
      <c r="G78" s="178">
        <v>1648072179</v>
      </c>
      <c r="H78" s="37"/>
      <c r="I78" s="37"/>
      <c r="J78" s="37"/>
      <c r="K78" s="37"/>
      <c r="L78" s="37"/>
      <c r="M78" s="37"/>
      <c r="N78" s="37"/>
      <c r="O78" s="37"/>
      <c r="P78" s="37"/>
      <c r="Q78" s="37"/>
      <c r="R78" s="37"/>
      <c r="S78" s="37"/>
      <c r="T78" s="37"/>
      <c r="U78" s="37"/>
      <c r="V78" s="27"/>
    </row>
    <row r="79" spans="1:22" ht="15.75">
      <c r="A79" s="171" t="s">
        <v>67</v>
      </c>
      <c r="B79" s="168">
        <v>418591551</v>
      </c>
      <c r="C79" s="168">
        <v>379747737</v>
      </c>
      <c r="D79" s="168">
        <v>415544197</v>
      </c>
      <c r="E79" s="168">
        <v>703521762</v>
      </c>
      <c r="F79" s="168">
        <v>1174056377</v>
      </c>
      <c r="G79" s="172">
        <v>1280972049</v>
      </c>
      <c r="H79" s="37"/>
      <c r="I79" s="37"/>
      <c r="J79" s="37"/>
      <c r="K79" s="37"/>
      <c r="L79" s="37"/>
      <c r="M79" s="37"/>
      <c r="N79" s="37"/>
      <c r="O79" s="37"/>
      <c r="P79" s="37"/>
      <c r="Q79" s="37"/>
      <c r="R79" s="37"/>
      <c r="S79" s="37"/>
      <c r="T79" s="37"/>
      <c r="U79" s="37"/>
      <c r="V79" s="27"/>
    </row>
    <row r="80" spans="1:22" ht="15.75">
      <c r="A80" s="176" t="s">
        <v>68</v>
      </c>
      <c r="B80" s="177">
        <v>16020653</v>
      </c>
      <c r="C80" s="177">
        <v>18848871</v>
      </c>
      <c r="D80" s="177">
        <v>876221356</v>
      </c>
      <c r="E80" s="177">
        <v>1175414859</v>
      </c>
      <c r="F80" s="177">
        <v>5973826</v>
      </c>
      <c r="G80" s="178">
        <v>62486774</v>
      </c>
      <c r="H80" s="37"/>
      <c r="I80" s="37"/>
      <c r="J80" s="37"/>
      <c r="K80" s="37"/>
      <c r="L80" s="37"/>
      <c r="M80" s="37"/>
      <c r="N80" s="37"/>
      <c r="O80" s="37"/>
      <c r="P80" s="37"/>
      <c r="Q80" s="37"/>
      <c r="R80" s="37"/>
      <c r="S80" s="37"/>
      <c r="T80" s="37"/>
      <c r="U80" s="37"/>
      <c r="V80" s="27"/>
    </row>
    <row r="81" spans="1:22" ht="15.75">
      <c r="A81" s="171" t="s">
        <v>70</v>
      </c>
      <c r="B81" s="168">
        <v>32217792</v>
      </c>
      <c r="C81" s="168">
        <v>31568062</v>
      </c>
      <c r="D81" s="168">
        <v>-50317583</v>
      </c>
      <c r="E81" s="168">
        <v>-28371111</v>
      </c>
      <c r="F81" s="168">
        <v>185411589</v>
      </c>
      <c r="G81" s="172">
        <v>331240975</v>
      </c>
      <c r="H81" s="37"/>
      <c r="I81" s="37"/>
      <c r="J81" s="37"/>
      <c r="K81" s="37"/>
      <c r="L81" s="37"/>
      <c r="M81" s="37"/>
      <c r="N81" s="37"/>
      <c r="O81" s="37"/>
      <c r="P81" s="37"/>
      <c r="Q81" s="37"/>
      <c r="R81" s="37"/>
      <c r="S81" s="37"/>
      <c r="T81" s="37"/>
      <c r="U81" s="37"/>
      <c r="V81" s="27"/>
    </row>
    <row r="82" spans="1:22" ht="16.5" thickBot="1">
      <c r="A82" s="179" t="s">
        <v>75</v>
      </c>
      <c r="B82" s="180">
        <v>17863792</v>
      </c>
      <c r="C82" s="180">
        <v>16990062</v>
      </c>
      <c r="D82" s="180">
        <v>-52372583</v>
      </c>
      <c r="E82" s="180">
        <v>-29761111</v>
      </c>
      <c r="F82" s="180">
        <v>103030854</v>
      </c>
      <c r="G82" s="181">
        <v>234424396</v>
      </c>
      <c r="H82" s="37"/>
      <c r="I82" s="37"/>
      <c r="J82" s="37"/>
      <c r="K82" s="37"/>
      <c r="L82" s="37"/>
      <c r="M82" s="37"/>
      <c r="N82" s="37"/>
      <c r="O82" s="37"/>
      <c r="P82" s="37"/>
      <c r="Q82" s="37"/>
      <c r="R82" s="37"/>
      <c r="S82" s="37"/>
      <c r="T82" s="37"/>
      <c r="U82" s="37"/>
      <c r="V82" s="27"/>
    </row>
    <row r="83" spans="1:22" ht="15.75">
      <c r="A83" s="37"/>
      <c r="B83" s="37"/>
      <c r="C83" s="37"/>
      <c r="D83" s="37"/>
      <c r="E83" s="37"/>
      <c r="F83" s="37"/>
      <c r="G83" s="37"/>
      <c r="H83" s="37"/>
      <c r="I83" s="37"/>
      <c r="J83" s="37"/>
      <c r="K83" s="37"/>
      <c r="L83" s="37"/>
      <c r="M83" s="37"/>
      <c r="N83" s="37"/>
      <c r="O83" s="37"/>
      <c r="P83" s="37"/>
      <c r="Q83" s="37"/>
      <c r="R83" s="37"/>
      <c r="S83" s="37"/>
      <c r="T83" s="37"/>
      <c r="U83" s="37"/>
      <c r="V83" s="27"/>
    </row>
    <row r="84" spans="1:22" ht="15.75">
      <c r="A84" s="37"/>
      <c r="B84" s="37"/>
      <c r="C84" s="37"/>
      <c r="D84" s="37"/>
      <c r="E84" s="37"/>
      <c r="F84" s="37"/>
      <c r="G84" s="37"/>
      <c r="H84" s="37"/>
      <c r="I84" s="37"/>
      <c r="J84" s="37"/>
      <c r="K84" s="37"/>
      <c r="L84" s="37"/>
      <c r="M84" s="37"/>
      <c r="N84" s="37"/>
      <c r="O84" s="37"/>
      <c r="P84" s="37"/>
      <c r="Q84" s="37"/>
      <c r="V84" s="27"/>
    </row>
    <row r="85" spans="1:22">
      <c r="N85" s="37"/>
      <c r="O85" s="37"/>
      <c r="P85" s="37"/>
      <c r="Q85" s="37"/>
    </row>
    <row r="86" spans="1:22">
      <c r="N86" s="37"/>
      <c r="O86" s="37"/>
      <c r="P86" s="37"/>
      <c r="Q86" s="37"/>
    </row>
    <row r="87" spans="1:22">
      <c r="N87" s="37"/>
      <c r="O87" s="37"/>
      <c r="P87" s="37"/>
      <c r="Q87" s="37"/>
    </row>
  </sheetData>
  <mergeCells count="18">
    <mergeCell ref="A75:G75"/>
    <mergeCell ref="A4:G4"/>
    <mergeCell ref="O4:U4"/>
    <mergeCell ref="I1:M1"/>
    <mergeCell ref="I2:M2"/>
    <mergeCell ref="I3:M3"/>
    <mergeCell ref="I4:M4"/>
    <mergeCell ref="A1:G1"/>
    <mergeCell ref="O1:U1"/>
    <mergeCell ref="A2:G2"/>
    <mergeCell ref="O2:U2"/>
    <mergeCell ref="A3:G3"/>
    <mergeCell ref="O3:U3"/>
    <mergeCell ref="W1:AA1"/>
    <mergeCell ref="W2:AA2"/>
    <mergeCell ref="W3:AA3"/>
    <mergeCell ref="W4:AA4"/>
    <mergeCell ref="A47:G47"/>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54"/>
  <sheetViews>
    <sheetView tabSelected="1" topLeftCell="A34" zoomScale="70" zoomScaleNormal="70" workbookViewId="0">
      <selection activeCell="C38" sqref="C38"/>
    </sheetView>
  </sheetViews>
  <sheetFormatPr baseColWidth="10" defaultRowHeight="15"/>
  <cols>
    <col min="1" max="1" width="20.7109375" bestFit="1" customWidth="1"/>
    <col min="2" max="2" width="34.5703125" customWidth="1"/>
    <col min="3" max="3" width="54.140625" customWidth="1"/>
    <col min="4" max="4" width="21.28515625" customWidth="1"/>
    <col min="5" max="5" width="18.42578125" bestFit="1" customWidth="1"/>
    <col min="6" max="6" width="21.28515625" customWidth="1"/>
    <col min="7" max="7" width="18.42578125" bestFit="1" customWidth="1"/>
    <col min="8" max="8" width="21.28515625" customWidth="1"/>
    <col min="9" max="9" width="20.42578125" bestFit="1" customWidth="1"/>
    <col min="10" max="10" width="21.28515625" customWidth="1"/>
    <col min="11" max="11" width="20.42578125" bestFit="1" customWidth="1"/>
    <col min="12" max="12" width="20.7109375" customWidth="1"/>
    <col min="13" max="13" width="20.42578125" bestFit="1" customWidth="1"/>
    <col min="14" max="14" width="20.7109375" customWidth="1"/>
    <col min="15" max="15" width="20.42578125" bestFit="1" customWidth="1"/>
    <col min="16" max="16" width="100.7109375" customWidth="1"/>
  </cols>
  <sheetData>
    <row r="1" spans="1:16" ht="27.75" thickBot="1">
      <c r="A1" s="466" t="s">
        <v>179</v>
      </c>
      <c r="B1" s="467"/>
      <c r="C1" s="467"/>
      <c r="D1" s="467"/>
      <c r="E1" s="467"/>
      <c r="F1" s="467"/>
      <c r="G1" s="467"/>
      <c r="H1" s="467"/>
      <c r="I1" s="467"/>
      <c r="J1" s="467"/>
      <c r="K1" s="467"/>
      <c r="L1" s="467"/>
      <c r="M1" s="467"/>
      <c r="N1" s="467"/>
      <c r="O1" s="467"/>
      <c r="P1" s="457" t="s">
        <v>270</v>
      </c>
    </row>
    <row r="2" spans="1:16" ht="18.75" thickBot="1">
      <c r="A2" s="182" t="s">
        <v>168</v>
      </c>
      <c r="B2" s="183" t="s">
        <v>169</v>
      </c>
      <c r="C2" s="184" t="s">
        <v>170</v>
      </c>
      <c r="D2" s="482">
        <v>2015</v>
      </c>
      <c r="E2" s="478"/>
      <c r="F2" s="482">
        <v>2016</v>
      </c>
      <c r="G2" s="478"/>
      <c r="H2" s="477">
        <v>2017</v>
      </c>
      <c r="I2" s="478"/>
      <c r="J2" s="477">
        <v>2018</v>
      </c>
      <c r="K2" s="478"/>
      <c r="L2" s="477">
        <v>2019</v>
      </c>
      <c r="M2" s="478"/>
      <c r="N2" s="477">
        <v>2020</v>
      </c>
      <c r="O2" s="478"/>
      <c r="P2" s="458"/>
    </row>
    <row r="3" spans="1:16" ht="18.75" thickBot="1">
      <c r="A3" s="486" t="s">
        <v>171</v>
      </c>
      <c r="B3" s="488" t="s">
        <v>242</v>
      </c>
      <c r="C3" s="185" t="s">
        <v>180</v>
      </c>
      <c r="D3" s="186">
        <f>+'Estados financieros'!B12</f>
        <v>328516614</v>
      </c>
      <c r="E3" s="460">
        <f>D3/D4</f>
        <v>1.4609939285230393</v>
      </c>
      <c r="F3" s="186">
        <f>+'Estados financieros'!C12</f>
        <v>434230096</v>
      </c>
      <c r="G3" s="460">
        <f>F3/F4</f>
        <v>1.9591578461044246</v>
      </c>
      <c r="H3" s="186">
        <f>+'Estados financieros'!D12</f>
        <v>441206510</v>
      </c>
      <c r="I3" s="460">
        <f>+H3/H4</f>
        <v>1.2916863212635987</v>
      </c>
      <c r="J3" s="186">
        <f>+'Estados financieros'!E12</f>
        <v>664803319</v>
      </c>
      <c r="K3" s="460">
        <f>+J3/J4</f>
        <v>1.1505396398558925</v>
      </c>
      <c r="L3" s="186">
        <f>+'Estados financieros'!F12</f>
        <v>674693566</v>
      </c>
      <c r="M3" s="460">
        <f>+L3/L4</f>
        <v>1.329184330347682</v>
      </c>
      <c r="N3" s="186">
        <f>+'Estados financieros'!G12</f>
        <v>812004940</v>
      </c>
      <c r="O3" s="460">
        <f>+N3/N4</f>
        <v>1.5668307785856241</v>
      </c>
      <c r="P3" s="459" t="s">
        <v>230</v>
      </c>
    </row>
    <row r="4" spans="1:16" ht="147.75" customHeight="1" thickBot="1">
      <c r="A4" s="487"/>
      <c r="B4" s="489"/>
      <c r="C4" s="187" t="s">
        <v>181</v>
      </c>
      <c r="D4" s="188">
        <f>+'Estados financieros'!B28</f>
        <v>224858302</v>
      </c>
      <c r="E4" s="461"/>
      <c r="F4" s="188">
        <f>+'Estados financieros'!C28</f>
        <v>221641200</v>
      </c>
      <c r="G4" s="461"/>
      <c r="H4" s="188">
        <f>+'Estados financieros'!D28</f>
        <v>341574036</v>
      </c>
      <c r="I4" s="461"/>
      <c r="J4" s="188">
        <f>+'Estados financieros'!E28</f>
        <v>577818700</v>
      </c>
      <c r="K4" s="461"/>
      <c r="L4" s="188">
        <f>+'Estados financieros'!F28</f>
        <v>507599699</v>
      </c>
      <c r="M4" s="461"/>
      <c r="N4" s="188">
        <f>+'Estados financieros'!G28</f>
        <v>518246738</v>
      </c>
      <c r="O4" s="461"/>
      <c r="P4" s="459"/>
    </row>
    <row r="5" spans="1:16" ht="16.5" customHeight="1" thickBot="1">
      <c r="A5" s="491" t="s">
        <v>172</v>
      </c>
      <c r="B5" s="494" t="s">
        <v>243</v>
      </c>
      <c r="C5" s="189" t="s">
        <v>173</v>
      </c>
      <c r="D5" s="190">
        <f>+'Estados financieros'!K7</f>
        <v>904879380</v>
      </c>
      <c r="E5" s="462">
        <f>D5/D6</f>
        <v>2.7544402366207268</v>
      </c>
      <c r="F5" s="190">
        <f>+'Estados financieros'!L7</f>
        <v>1043977031</v>
      </c>
      <c r="G5" s="462">
        <f>F5/F6</f>
        <v>2.4042023816792284</v>
      </c>
      <c r="H5" s="190">
        <f>+'Estados financieros'!M7</f>
        <v>1262392367</v>
      </c>
      <c r="I5" s="462">
        <f>H5/H6</f>
        <v>2.8612278794345078</v>
      </c>
      <c r="J5" s="190">
        <f>+'Estados financieros'!N7</f>
        <v>1860941447</v>
      </c>
      <c r="K5" s="462">
        <f>J5/J6</f>
        <v>2.7992360955706963</v>
      </c>
      <c r="L5" s="190">
        <f>+'Estados financieros'!O7</f>
        <v>2869401050</v>
      </c>
      <c r="M5" s="462">
        <f>L5/L6</f>
        <v>4.2528952321445432</v>
      </c>
      <c r="N5" s="190">
        <f>+'Estados financieros'!P7</f>
        <v>3417084270</v>
      </c>
      <c r="O5" s="462">
        <f>N5/N6</f>
        <v>4.2082062579570021</v>
      </c>
      <c r="P5" s="459" t="s">
        <v>233</v>
      </c>
    </row>
    <row r="6" spans="1:16" ht="28.5" customHeight="1" thickBot="1">
      <c r="A6" s="492"/>
      <c r="B6" s="495"/>
      <c r="C6" s="191" t="s">
        <v>180</v>
      </c>
      <c r="D6" s="192">
        <f>+'Estados financieros'!B12</f>
        <v>328516614</v>
      </c>
      <c r="E6" s="463"/>
      <c r="F6" s="192">
        <f>+'Estados financieros'!C12</f>
        <v>434230096</v>
      </c>
      <c r="G6" s="463"/>
      <c r="H6" s="192">
        <f>+'Estados financieros'!D12</f>
        <v>441206510</v>
      </c>
      <c r="I6" s="463"/>
      <c r="J6" s="192">
        <f>+'Estados financieros'!E12</f>
        <v>664803319</v>
      </c>
      <c r="K6" s="463"/>
      <c r="L6" s="192">
        <f>+'Estados financieros'!F12</f>
        <v>674693566</v>
      </c>
      <c r="M6" s="463"/>
      <c r="N6" s="192">
        <f>+'Estados financieros'!G12</f>
        <v>812004940</v>
      </c>
      <c r="O6" s="463"/>
      <c r="P6" s="459"/>
    </row>
    <row r="7" spans="1:16" ht="18.75" thickBot="1">
      <c r="A7" s="492"/>
      <c r="B7" s="485" t="s">
        <v>244</v>
      </c>
      <c r="C7" s="194" t="s">
        <v>173</v>
      </c>
      <c r="D7" s="196">
        <f>+'Estados financieros'!K$7</f>
        <v>904879380</v>
      </c>
      <c r="E7" s="476">
        <f>D7/D8</f>
        <v>16.223297688357782</v>
      </c>
      <c r="F7" s="196">
        <f>+'Estados financieros'!L$7</f>
        <v>1043977031</v>
      </c>
      <c r="G7" s="476">
        <f>F7/F8</f>
        <v>22.833295277003931</v>
      </c>
      <c r="H7" s="196">
        <f>+'Estados financieros'!M$7</f>
        <v>1262392367</v>
      </c>
      <c r="I7" s="476">
        <f>H7/H8</f>
        <v>18.184889659734658</v>
      </c>
      <c r="J7" s="196">
        <f>+'Estados financieros'!N$7</f>
        <v>1860941447</v>
      </c>
      <c r="K7" s="476">
        <f>J7/J8</f>
        <v>34.769143224922125</v>
      </c>
      <c r="L7" s="196">
        <f>+'Estados financieros'!O$7</f>
        <v>2869401050</v>
      </c>
      <c r="M7" s="476">
        <f>L7/L8</f>
        <v>45.186039046556346</v>
      </c>
      <c r="N7" s="196">
        <f>+'Estados financieros'!P$7</f>
        <v>3417084270</v>
      </c>
      <c r="O7" s="476">
        <f>N7/N8</f>
        <v>19.952404383233691</v>
      </c>
      <c r="P7" s="459" t="s">
        <v>232</v>
      </c>
    </row>
    <row r="8" spans="1:16" ht="45" customHeight="1" thickBot="1">
      <c r="A8" s="492"/>
      <c r="B8" s="469"/>
      <c r="C8" s="195" t="s">
        <v>182</v>
      </c>
      <c r="D8" s="192">
        <f>+'Estados financieros'!B16</f>
        <v>55776538</v>
      </c>
      <c r="E8" s="463"/>
      <c r="F8" s="192">
        <f>+'Estados financieros'!C16</f>
        <v>45721698</v>
      </c>
      <c r="G8" s="463"/>
      <c r="H8" s="192">
        <f>+'Estados financieros'!D16</f>
        <v>69419853</v>
      </c>
      <c r="I8" s="463"/>
      <c r="J8" s="192">
        <f>+'Estados financieros'!E16</f>
        <v>53522787</v>
      </c>
      <c r="K8" s="463"/>
      <c r="L8" s="192">
        <f>+'Estados financieros'!F16</f>
        <v>63501938</v>
      </c>
      <c r="M8" s="463"/>
      <c r="N8" s="192">
        <f>+'Estados financieros'!G16</f>
        <v>171261779</v>
      </c>
      <c r="O8" s="463"/>
      <c r="P8" s="459"/>
    </row>
    <row r="9" spans="1:16" ht="18" customHeight="1" thickBot="1">
      <c r="A9" s="492"/>
      <c r="B9" s="468" t="s">
        <v>245</v>
      </c>
      <c r="C9" s="194" t="s">
        <v>173</v>
      </c>
      <c r="D9" s="190">
        <f>+D7</f>
        <v>904879380</v>
      </c>
      <c r="E9" s="462">
        <f>D9/D10</f>
        <v>2.3546591327237598</v>
      </c>
      <c r="F9" s="190">
        <f>+F7</f>
        <v>1043977031</v>
      </c>
      <c r="G9" s="462">
        <f>F9/F10</f>
        <v>2.1751705984872305</v>
      </c>
      <c r="H9" s="190">
        <f>+H7</f>
        <v>1262392367</v>
      </c>
      <c r="I9" s="462">
        <f>H9/H10</f>
        <v>2.4722428344343044</v>
      </c>
      <c r="J9" s="190">
        <f>+J7</f>
        <v>1860941447</v>
      </c>
      <c r="K9" s="462">
        <f>J9/J10</f>
        <v>2.5906638105673969</v>
      </c>
      <c r="L9" s="190">
        <f>+L7</f>
        <v>2869401050</v>
      </c>
      <c r="M9" s="462">
        <f>L9/L10</f>
        <v>3.8870475835355398</v>
      </c>
      <c r="N9" s="190">
        <f>+N7</f>
        <v>3417084270</v>
      </c>
      <c r="O9" s="462">
        <f>N9/N10</f>
        <v>3.4752363768350021</v>
      </c>
      <c r="P9" s="459" t="s">
        <v>231</v>
      </c>
    </row>
    <row r="10" spans="1:16" ht="127.5" customHeight="1" thickBot="1">
      <c r="A10" s="492"/>
      <c r="B10" s="469"/>
      <c r="C10" s="195" t="s">
        <v>174</v>
      </c>
      <c r="D10" s="192">
        <f>+'Estados financieros'!B18</f>
        <v>384293152</v>
      </c>
      <c r="E10" s="463"/>
      <c r="F10" s="192">
        <f>+'Estados financieros'!C18</f>
        <v>479951794</v>
      </c>
      <c r="G10" s="463"/>
      <c r="H10" s="192">
        <f>+'Estados financieros'!D18</f>
        <v>510626363</v>
      </c>
      <c r="I10" s="463"/>
      <c r="J10" s="192">
        <f>+'Estados financieros'!E18</f>
        <v>718326106</v>
      </c>
      <c r="K10" s="463"/>
      <c r="L10" s="192">
        <f>+'Estados financieros'!F18</f>
        <v>738195504</v>
      </c>
      <c r="M10" s="463"/>
      <c r="N10" s="192">
        <f>+'Estados financieros'!G18</f>
        <v>983266719</v>
      </c>
      <c r="O10" s="463"/>
      <c r="P10" s="459"/>
    </row>
    <row r="11" spans="1:16" ht="12.75" customHeight="1" thickBot="1">
      <c r="A11" s="492"/>
      <c r="B11" s="468" t="s">
        <v>246</v>
      </c>
      <c r="C11" s="194" t="s">
        <v>225</v>
      </c>
      <c r="D11" s="202">
        <f>(18815734)*365</f>
        <v>6867742910</v>
      </c>
      <c r="E11" s="462">
        <f>D11/D12</f>
        <v>7.5896777645657041</v>
      </c>
      <c r="F11" s="202">
        <f>(24140315)*365</f>
        <v>8811214975</v>
      </c>
      <c r="G11" s="462">
        <f>(F11/F12)</f>
        <v>8.4400467762781659</v>
      </c>
      <c r="H11" s="202">
        <f>(39123528)*365</f>
        <v>14280087720</v>
      </c>
      <c r="I11" s="462">
        <f>H11/H12</f>
        <v>11.311924955579203</v>
      </c>
      <c r="J11" s="202">
        <f>(81214178)*365</f>
        <v>29643174970</v>
      </c>
      <c r="K11" s="462">
        <f>J11/J12</f>
        <v>15.929128247311265</v>
      </c>
      <c r="L11" s="202">
        <f>(72801761)*365</f>
        <v>26572642765</v>
      </c>
      <c r="M11" s="462">
        <f>L11/L12</f>
        <v>9.2606931906573333</v>
      </c>
      <c r="N11" s="202">
        <f>(66451180*365)</f>
        <v>24254680700</v>
      </c>
      <c r="O11" s="462">
        <f>N11/N12</f>
        <v>7.0980633731927245</v>
      </c>
      <c r="P11" s="459" t="s">
        <v>235</v>
      </c>
    </row>
    <row r="12" spans="1:16" ht="12.75" customHeight="1" thickBot="1">
      <c r="A12" s="492"/>
      <c r="B12" s="469"/>
      <c r="C12" s="195" t="s">
        <v>226</v>
      </c>
      <c r="D12" s="192">
        <f>'Estados financieros'!K7</f>
        <v>904879380</v>
      </c>
      <c r="E12" s="463"/>
      <c r="F12" s="192">
        <f>+'Estados financieros'!L7</f>
        <v>1043977031</v>
      </c>
      <c r="G12" s="463"/>
      <c r="H12" s="192">
        <f>'Estados financieros'!M7</f>
        <v>1262392367</v>
      </c>
      <c r="I12" s="463"/>
      <c r="J12" s="192">
        <f>+'Estados financieros'!N7</f>
        <v>1860941447</v>
      </c>
      <c r="K12" s="463"/>
      <c r="L12" s="192">
        <f>+'Estados financieros'!O7</f>
        <v>2869401050</v>
      </c>
      <c r="M12" s="463"/>
      <c r="N12" s="192">
        <f>+'Estados financieros'!P7</f>
        <v>3417084270</v>
      </c>
      <c r="O12" s="463"/>
      <c r="P12" s="459"/>
    </row>
    <row r="13" spans="1:16" s="217" customFormat="1" ht="12.75" customHeight="1" thickBot="1">
      <c r="A13" s="492"/>
      <c r="B13" s="468" t="s">
        <v>247</v>
      </c>
      <c r="C13" s="194" t="s">
        <v>223</v>
      </c>
      <c r="D13" s="202">
        <f>(36885684)*365</f>
        <v>13463274660</v>
      </c>
      <c r="E13" s="462">
        <f>D13/D14</f>
        <v>30.625294938457426</v>
      </c>
      <c r="F13" s="202">
        <f>(81200000)*365</f>
        <v>29638000000</v>
      </c>
      <c r="G13" s="462">
        <f>F13/F14</f>
        <v>47.898167622936072</v>
      </c>
      <c r="H13" s="202">
        <f>(70000000)*365</f>
        <v>25550000000</v>
      </c>
      <c r="I13" s="462">
        <f>H13/H14</f>
        <v>29.159298418195597</v>
      </c>
      <c r="J13" s="202">
        <f>(168100994)*365</f>
        <v>61356862810</v>
      </c>
      <c r="K13" s="462">
        <f>J13/J14</f>
        <v>52.200176252833977</v>
      </c>
      <c r="L13" s="202">
        <f>(224970688)*365</f>
        <v>82114301120</v>
      </c>
      <c r="M13" s="462">
        <f>(L13/L14)</f>
        <v>54.577081777488601</v>
      </c>
      <c r="N13" s="202">
        <f>(118317325)*365</f>
        <v>43185823625</v>
      </c>
      <c r="O13" s="462">
        <f>(N13/N14)</f>
        <v>24.412395960836879</v>
      </c>
      <c r="P13" s="459"/>
    </row>
    <row r="14" spans="1:16" s="217" customFormat="1" ht="12.75" customHeight="1" thickBot="1">
      <c r="A14" s="492"/>
      <c r="B14" s="469"/>
      <c r="C14" s="195" t="s">
        <v>224</v>
      </c>
      <c r="D14" s="192">
        <f>'Estados financieros'!K8</f>
        <v>439612898</v>
      </c>
      <c r="E14" s="463"/>
      <c r="F14" s="192">
        <f>'Estados financieros'!L8</f>
        <v>618771061</v>
      </c>
      <c r="G14" s="463"/>
      <c r="H14" s="192">
        <v>876221356</v>
      </c>
      <c r="I14" s="463"/>
      <c r="J14" s="192">
        <v>1175414859</v>
      </c>
      <c r="K14" s="463"/>
      <c r="L14" s="192">
        <f>+'Estados financieros'!O8</f>
        <v>1504556463</v>
      </c>
      <c r="M14" s="463"/>
      <c r="N14" s="192">
        <f>+'Estados financieros'!P8</f>
        <v>1769012091</v>
      </c>
      <c r="O14" s="463"/>
      <c r="P14" s="459"/>
    </row>
    <row r="15" spans="1:16" s="217" customFormat="1" ht="12.75" customHeight="1" thickBot="1">
      <c r="A15" s="492"/>
      <c r="B15" s="468" t="s">
        <v>248</v>
      </c>
      <c r="C15" s="194" t="s">
        <v>507</v>
      </c>
      <c r="D15" s="496"/>
      <c r="E15" s="462">
        <f>+E11-E13</f>
        <v>-23.035617173891723</v>
      </c>
      <c r="F15" s="202"/>
      <c r="G15" s="462">
        <f>+G11-G13</f>
        <v>-39.458120846657906</v>
      </c>
      <c r="H15" s="202"/>
      <c r="I15" s="462">
        <f>+I11-I13</f>
        <v>-17.847373462616396</v>
      </c>
      <c r="J15" s="202"/>
      <c r="K15" s="462">
        <f>+K11-K13</f>
        <v>-36.271048005522715</v>
      </c>
      <c r="L15" s="202"/>
      <c r="M15" s="462">
        <f>+M11-M13</f>
        <v>-45.316388586831266</v>
      </c>
      <c r="N15" s="202"/>
      <c r="O15" s="462">
        <f>+O11-O13</f>
        <v>-17.314332587644152</v>
      </c>
      <c r="P15" s="459"/>
    </row>
    <row r="16" spans="1:16" s="217" customFormat="1" ht="12.75" customHeight="1" thickBot="1">
      <c r="A16" s="492"/>
      <c r="B16" s="469"/>
      <c r="C16" s="195"/>
      <c r="D16" s="497"/>
      <c r="E16" s="463"/>
      <c r="F16" s="192"/>
      <c r="G16" s="463"/>
      <c r="H16" s="192"/>
      <c r="I16" s="463"/>
      <c r="J16" s="192"/>
      <c r="K16" s="463"/>
      <c r="L16" s="192"/>
      <c r="M16" s="463"/>
      <c r="N16" s="192"/>
      <c r="O16" s="463"/>
      <c r="P16" s="459"/>
    </row>
    <row r="17" spans="1:16" ht="18.75" thickBot="1">
      <c r="A17" s="492"/>
      <c r="B17" s="468" t="s">
        <v>249</v>
      </c>
      <c r="C17" s="194" t="s">
        <v>173</v>
      </c>
      <c r="D17" s="190">
        <f>+D9</f>
        <v>904879380</v>
      </c>
      <c r="E17" s="462">
        <f>D17/D18</f>
        <v>57.507979898631376</v>
      </c>
      <c r="F17" s="190">
        <f>+F9</f>
        <v>1043977031</v>
      </c>
      <c r="G17" s="462">
        <f>F17/F18</f>
        <v>6.0441602256443501</v>
      </c>
      <c r="H17" s="190">
        <f>+H9</f>
        <v>1262392367</v>
      </c>
      <c r="I17" s="462">
        <f>H17/H18</f>
        <v>10.489139665741568</v>
      </c>
      <c r="J17" s="190">
        <f>+J9</f>
        <v>1860941447</v>
      </c>
      <c r="K17" s="462">
        <f>J17/J18</f>
        <v>20.188513786699026</v>
      </c>
      <c r="L17" s="190">
        <f>+L9</f>
        <v>2869401050</v>
      </c>
      <c r="M17" s="462">
        <f>L17/L18</f>
        <v>14.771000694984235</v>
      </c>
      <c r="N17" s="190">
        <f>+N9</f>
        <v>3417084270</v>
      </c>
      <c r="O17" s="462">
        <f>N17/N18</f>
        <v>7.9711125002686423</v>
      </c>
      <c r="P17" s="459" t="s">
        <v>234</v>
      </c>
    </row>
    <row r="18" spans="1:16" ht="63.75" customHeight="1" thickBot="1">
      <c r="A18" s="493"/>
      <c r="B18" s="485"/>
      <c r="C18" s="228" t="s">
        <v>183</v>
      </c>
      <c r="D18" s="229">
        <f>+'Estados financieros'!B40</f>
        <v>15734849</v>
      </c>
      <c r="E18" s="476"/>
      <c r="F18" s="229">
        <f>+'Estados financieros'!C40</f>
        <v>172724910</v>
      </c>
      <c r="G18" s="476"/>
      <c r="H18" s="229">
        <f>+'Estados financieros'!D40</f>
        <v>120352327</v>
      </c>
      <c r="I18" s="476"/>
      <c r="J18" s="229">
        <f>+'Estados financieros'!E40</f>
        <v>92178229</v>
      </c>
      <c r="K18" s="476"/>
      <c r="L18" s="229">
        <f>+'Estados financieros'!F40</f>
        <v>194259083</v>
      </c>
      <c r="M18" s="476"/>
      <c r="N18" s="229">
        <f>+'Estados financieros'!G40</f>
        <v>428683483</v>
      </c>
      <c r="O18" s="476"/>
      <c r="P18" s="459"/>
    </row>
    <row r="19" spans="1:16" ht="32.25" customHeight="1" thickBot="1">
      <c r="A19" s="486" t="s">
        <v>175</v>
      </c>
      <c r="B19" s="483" t="s">
        <v>250</v>
      </c>
      <c r="C19" s="197" t="s">
        <v>176</v>
      </c>
      <c r="D19" s="186">
        <f>+'Estados financieros'!B32</f>
        <v>368558302</v>
      </c>
      <c r="E19" s="460">
        <f>D19/D20</f>
        <v>0.95905508615464474</v>
      </c>
      <c r="F19" s="186">
        <f>+'Estados financieros'!C32</f>
        <v>307226884</v>
      </c>
      <c r="G19" s="460">
        <f>F19/F20</f>
        <v>0.64012029508113477</v>
      </c>
      <c r="H19" s="186">
        <f>+'Estados financieros'!D32</f>
        <v>390274036</v>
      </c>
      <c r="I19" s="460">
        <f>H19/H20</f>
        <v>0.76430451750882278</v>
      </c>
      <c r="J19" s="186">
        <f>+'Estados financieros'!E32</f>
        <v>626147878</v>
      </c>
      <c r="K19" s="460">
        <f>J19/J20</f>
        <v>0.87167634973856845</v>
      </c>
      <c r="L19" s="186">
        <f>+'Estados financieros'!F32</f>
        <v>543936197</v>
      </c>
      <c r="M19" s="460">
        <f>L19/L20</f>
        <v>0.73684571912537689</v>
      </c>
      <c r="N19" s="186">
        <f>+'Estados financieros'!G32</f>
        <v>554583236</v>
      </c>
      <c r="O19" s="460">
        <f>N19/N20</f>
        <v>0.56402116056975993</v>
      </c>
      <c r="P19" s="459" t="s">
        <v>238</v>
      </c>
    </row>
    <row r="20" spans="1:16" ht="32.25" customHeight="1" thickBot="1">
      <c r="A20" s="487"/>
      <c r="B20" s="484"/>
      <c r="C20" s="198" t="s">
        <v>174</v>
      </c>
      <c r="D20" s="188">
        <f>+'Estados financieros'!B18</f>
        <v>384293152</v>
      </c>
      <c r="E20" s="461"/>
      <c r="F20" s="188">
        <f>+'Estados financieros'!C18</f>
        <v>479951794</v>
      </c>
      <c r="G20" s="461"/>
      <c r="H20" s="188">
        <f>+'Estados financieros'!D18</f>
        <v>510626363</v>
      </c>
      <c r="I20" s="461"/>
      <c r="J20" s="188">
        <f>+'Estados financieros'!E18</f>
        <v>718326106</v>
      </c>
      <c r="K20" s="461"/>
      <c r="L20" s="188">
        <f>+'Estados financieros'!F18</f>
        <v>738195504</v>
      </c>
      <c r="M20" s="461"/>
      <c r="N20" s="188">
        <f>+'Estados financieros'!G18</f>
        <v>983266719</v>
      </c>
      <c r="O20" s="461"/>
      <c r="P20" s="459"/>
    </row>
    <row r="21" spans="1:16" ht="32.25" customHeight="1" thickBot="1">
      <c r="A21" s="487"/>
      <c r="B21" s="483" t="s">
        <v>251</v>
      </c>
      <c r="C21" s="498" t="s">
        <v>236</v>
      </c>
      <c r="D21" s="201">
        <f>+'Estados financieros'!B18</f>
        <v>384293152</v>
      </c>
      <c r="E21" s="460">
        <f>(D21/D22)*(E45/E47)</f>
        <v>24.423059414170417</v>
      </c>
      <c r="F21" s="201">
        <f>+'Estados financieros'!C18</f>
        <v>479951794</v>
      </c>
      <c r="G21" s="460">
        <f>(F21/F22)*(G45/G47)</f>
        <v>2.778706290829736</v>
      </c>
      <c r="H21" s="201">
        <f>+'Estados financieros'!D18</f>
        <v>510626363</v>
      </c>
      <c r="I21" s="460">
        <f>H21/H22</f>
        <v>4.2427626929058047</v>
      </c>
      <c r="J21" s="201">
        <f>+'Estados financieros'!E18</f>
        <v>718326106</v>
      </c>
      <c r="K21" s="460">
        <f>(J21/J22)*(K45/K47)</f>
        <v>7.7927956936556031</v>
      </c>
      <c r="L21" s="201">
        <f>+'Estados financieros'!F18</f>
        <v>738195504</v>
      </c>
      <c r="M21" s="460">
        <f>(L21/L22)*(M45/M47)</f>
        <v>3.3370333468519027</v>
      </c>
      <c r="N21" s="201">
        <f>+'Estados financieros'!G18</f>
        <v>983266719</v>
      </c>
      <c r="O21" s="460">
        <f>(N21/N22)*(O45/O47)</f>
        <v>2.1753865587809025</v>
      </c>
      <c r="P21" s="459"/>
    </row>
    <row r="22" spans="1:16" ht="32.25" customHeight="1" thickBot="1">
      <c r="A22" s="487"/>
      <c r="B22" s="484"/>
      <c r="C22" s="499"/>
      <c r="D22" s="201">
        <f>+'Estados financieros'!B40</f>
        <v>15734849</v>
      </c>
      <c r="E22" s="461"/>
      <c r="F22" s="201">
        <f>+'Estados financieros'!C40</f>
        <v>172724910</v>
      </c>
      <c r="G22" s="461"/>
      <c r="H22" s="201">
        <f>+'Estados financieros'!D40</f>
        <v>120352327</v>
      </c>
      <c r="I22" s="461"/>
      <c r="J22" s="201">
        <f>+'Estados financieros'!E40</f>
        <v>92178229</v>
      </c>
      <c r="K22" s="461"/>
      <c r="L22" s="201">
        <f>+'Estados financieros'!F40</f>
        <v>194259083</v>
      </c>
      <c r="M22" s="461"/>
      <c r="N22" s="201">
        <f>+'Estados financieros'!G40</f>
        <v>428683483</v>
      </c>
      <c r="O22" s="461"/>
      <c r="P22" s="459"/>
    </row>
    <row r="23" spans="1:16" ht="32.25" customHeight="1" thickBot="1">
      <c r="A23" s="487"/>
      <c r="B23" s="483" t="s">
        <v>252</v>
      </c>
      <c r="C23" s="197" t="s">
        <v>176</v>
      </c>
      <c r="D23" s="186">
        <f>+'Estados financieros'!B32</f>
        <v>368558302</v>
      </c>
      <c r="E23" s="460">
        <f>+D23/D24</f>
        <v>23.423059350617219</v>
      </c>
      <c r="F23" s="186">
        <f>+'Estados financieros'!C32</f>
        <v>307226884</v>
      </c>
      <c r="G23" s="460">
        <f>F23/F24</f>
        <v>1.7787062908297362</v>
      </c>
      <c r="H23" s="186">
        <f>+'Estados financieros'!D32</f>
        <v>390274036</v>
      </c>
      <c r="I23" s="460">
        <f>H23/H24</f>
        <v>3.2427626929058047</v>
      </c>
      <c r="J23" s="186">
        <f>+'Estados financieros'!E32</f>
        <v>626147878</v>
      </c>
      <c r="K23" s="460">
        <f>J23/J24</f>
        <v>6.7927957045041518</v>
      </c>
      <c r="L23" s="186">
        <f>+'Estados financieros'!F32</f>
        <v>543936197</v>
      </c>
      <c r="M23" s="460">
        <f>L23/L24</f>
        <v>2.8000554136251123</v>
      </c>
      <c r="N23" s="186">
        <f>+'Estados financieros'!G32</f>
        <v>554583236</v>
      </c>
      <c r="O23" s="460">
        <f>N23/N24</f>
        <v>1.2936893022304756</v>
      </c>
      <c r="P23" s="459"/>
    </row>
    <row r="24" spans="1:16" ht="32.25" customHeight="1" thickBot="1">
      <c r="A24" s="487"/>
      <c r="B24" s="484"/>
      <c r="C24" s="198" t="s">
        <v>183</v>
      </c>
      <c r="D24" s="188">
        <f>+'Estados financieros'!B40</f>
        <v>15734849</v>
      </c>
      <c r="E24" s="461"/>
      <c r="F24" s="188">
        <f>+'Estados financieros'!C40</f>
        <v>172724910</v>
      </c>
      <c r="G24" s="461"/>
      <c r="H24" s="188">
        <f>+'Estados financieros'!D40</f>
        <v>120352327</v>
      </c>
      <c r="I24" s="461"/>
      <c r="J24" s="188">
        <f>+'Estados financieros'!E40</f>
        <v>92178229</v>
      </c>
      <c r="K24" s="461"/>
      <c r="L24" s="188">
        <f>+'Estados financieros'!F40</f>
        <v>194259083</v>
      </c>
      <c r="M24" s="461"/>
      <c r="N24" s="188">
        <f>+'Estados financieros'!G40</f>
        <v>428683483</v>
      </c>
      <c r="O24" s="461"/>
      <c r="P24" s="459"/>
    </row>
    <row r="25" spans="1:16" ht="32.25" customHeight="1" thickBot="1">
      <c r="A25" s="487"/>
      <c r="B25" s="483" t="s">
        <v>253</v>
      </c>
      <c r="C25" s="197" t="s">
        <v>181</v>
      </c>
      <c r="D25" s="186">
        <f>+'Estados financieros'!B28</f>
        <v>224858302</v>
      </c>
      <c r="E25" s="460">
        <f>D25/D26</f>
        <v>14.290464560543288</v>
      </c>
      <c r="F25" s="186">
        <f>+'Estados financieros'!C28</f>
        <v>221641200</v>
      </c>
      <c r="G25" s="460">
        <f>F25/F26</f>
        <v>1.2832034476092649</v>
      </c>
      <c r="H25" s="186">
        <f>+'Estados financieros'!D28</f>
        <v>341574036</v>
      </c>
      <c r="I25" s="460">
        <f>H25/H26</f>
        <v>2.8381174216930596</v>
      </c>
      <c r="J25" s="186">
        <f>+'Estados financieros'!E28</f>
        <v>577818700</v>
      </c>
      <c r="K25" s="460">
        <f>J25/J26</f>
        <v>6.2684942666885037</v>
      </c>
      <c r="L25" s="186">
        <f>+'Estados financieros'!F28</f>
        <v>507599699</v>
      </c>
      <c r="M25" s="460">
        <f>L25/L26</f>
        <v>2.6130036812744555</v>
      </c>
      <c r="N25" s="186">
        <f>+'Estados financieros'!G28</f>
        <v>518246738</v>
      </c>
      <c r="O25" s="460">
        <f>N25/N26</f>
        <v>1.2089263023926677</v>
      </c>
      <c r="P25" s="459"/>
    </row>
    <row r="26" spans="1:16" ht="32.25" customHeight="1" thickBot="1">
      <c r="A26" s="487"/>
      <c r="B26" s="502"/>
      <c r="C26" s="198" t="s">
        <v>183</v>
      </c>
      <c r="D26" s="188">
        <f>+'Estados financieros'!B40</f>
        <v>15734849</v>
      </c>
      <c r="E26" s="461"/>
      <c r="F26" s="188">
        <f>+'Estados financieros'!C40</f>
        <v>172724910</v>
      </c>
      <c r="G26" s="461"/>
      <c r="H26" s="188">
        <f>+'Estados financieros'!D40</f>
        <v>120352327</v>
      </c>
      <c r="I26" s="461"/>
      <c r="J26" s="188">
        <f>+'Estados financieros'!E40</f>
        <v>92178229</v>
      </c>
      <c r="K26" s="461"/>
      <c r="L26" s="188">
        <f>+'Estados financieros'!F40</f>
        <v>194259083</v>
      </c>
      <c r="M26" s="461"/>
      <c r="N26" s="188">
        <f>+'Estados financieros'!G40</f>
        <v>428683483</v>
      </c>
      <c r="O26" s="461"/>
      <c r="P26" s="459"/>
    </row>
    <row r="27" spans="1:16" ht="32.25" customHeight="1" thickBot="1">
      <c r="A27" s="487"/>
      <c r="B27" s="483" t="s">
        <v>254</v>
      </c>
      <c r="C27" s="197" t="s">
        <v>184</v>
      </c>
      <c r="D27" s="186">
        <f>+'Estados financieros'!B30</f>
        <v>143700000</v>
      </c>
      <c r="E27" s="460">
        <f>D27/D28</f>
        <v>9.1325947900739308</v>
      </c>
      <c r="F27" s="186">
        <f>+'Estados financieros'!C30</f>
        <v>85585684</v>
      </c>
      <c r="G27" s="460">
        <f>F27/F28</f>
        <v>0.49550284322047122</v>
      </c>
      <c r="H27" s="186">
        <f>+'Estados financieros'!D30</f>
        <v>48700000</v>
      </c>
      <c r="I27" s="460">
        <f>H27/H28</f>
        <v>0.40464527121274524</v>
      </c>
      <c r="J27" s="186">
        <f>+'Estados financieros'!E30</f>
        <v>48329178</v>
      </c>
      <c r="K27" s="460">
        <f>J27/J28</f>
        <v>0.52430143781564731</v>
      </c>
      <c r="L27" s="186">
        <f>+'Estados financieros'!F30</f>
        <v>36336498</v>
      </c>
      <c r="M27" s="460">
        <f>L27/L28</f>
        <v>0.18705173235065667</v>
      </c>
      <c r="N27" s="186">
        <f>+'Estados financieros'!G30</f>
        <v>36336498</v>
      </c>
      <c r="O27" s="460">
        <f>N27/N28</f>
        <v>8.4762999837808078E-2</v>
      </c>
      <c r="P27" s="459"/>
    </row>
    <row r="28" spans="1:16" ht="50.25" customHeight="1" thickBot="1">
      <c r="A28" s="490"/>
      <c r="B28" s="484"/>
      <c r="C28" s="198" t="s">
        <v>183</v>
      </c>
      <c r="D28" s="188">
        <f>+'Estados financieros'!B40</f>
        <v>15734849</v>
      </c>
      <c r="E28" s="461"/>
      <c r="F28" s="188">
        <f>+'Estados financieros'!C40</f>
        <v>172724910</v>
      </c>
      <c r="G28" s="461"/>
      <c r="H28" s="188">
        <f>+'Estados financieros'!D40</f>
        <v>120352327</v>
      </c>
      <c r="I28" s="461"/>
      <c r="J28" s="188">
        <f>+'Estados financieros'!E40</f>
        <v>92178229</v>
      </c>
      <c r="K28" s="461"/>
      <c r="L28" s="188">
        <f>+'Estados financieros'!F40</f>
        <v>194259083</v>
      </c>
      <c r="M28" s="461"/>
      <c r="N28" s="188">
        <f>+'Estados financieros'!G40</f>
        <v>428683483</v>
      </c>
      <c r="O28" s="461"/>
      <c r="P28" s="459"/>
    </row>
    <row r="29" spans="1:16" ht="29.25" customHeight="1" thickBot="1">
      <c r="A29" s="481" t="s">
        <v>177</v>
      </c>
      <c r="B29" s="468" t="s">
        <v>239</v>
      </c>
      <c r="C29" s="500" t="s">
        <v>240</v>
      </c>
      <c r="D29" s="190"/>
      <c r="E29" s="472">
        <f>+'Estados financieros'!K14*(1-'Estados financieros'!K26)</f>
        <v>17863792</v>
      </c>
      <c r="F29" s="226"/>
      <c r="G29" s="472">
        <f>+'Estados financieros'!L14*(1-'Estados financieros'!L26)</f>
        <v>16990062</v>
      </c>
      <c r="H29" s="226"/>
      <c r="I29" s="472">
        <f>+'Estados financieros'!M14*(1-'Estados financieros'!M26)</f>
        <v>-50317583</v>
      </c>
      <c r="J29" s="226"/>
      <c r="K29" s="472">
        <f>+'Estados financieros'!N14*(1-'Estados financieros'!N26)</f>
        <v>-28371111</v>
      </c>
      <c r="L29" s="226"/>
      <c r="M29" s="472">
        <f>+'Estados financieros'!O14*(1-'Estados financieros'!O26)</f>
        <v>125622589.00000001</v>
      </c>
      <c r="N29" s="226"/>
      <c r="O29" s="472">
        <f>+'Estados financieros'!P14*(1-'Estados financieros'!P26)</f>
        <v>251508975</v>
      </c>
      <c r="P29" s="459" t="s">
        <v>241</v>
      </c>
    </row>
    <row r="30" spans="1:16" ht="29.25" customHeight="1" thickBot="1">
      <c r="A30" s="481"/>
      <c r="B30" s="469"/>
      <c r="C30" s="501"/>
      <c r="D30" s="192"/>
      <c r="E30" s="473"/>
      <c r="F30" s="227"/>
      <c r="G30" s="473"/>
      <c r="H30" s="227"/>
      <c r="I30" s="473"/>
      <c r="J30" s="227"/>
      <c r="K30" s="473"/>
      <c r="L30" s="227"/>
      <c r="M30" s="473"/>
      <c r="N30" s="227"/>
      <c r="O30" s="473"/>
      <c r="P30" s="459"/>
    </row>
    <row r="31" spans="1:16" ht="29.25" customHeight="1" thickBot="1">
      <c r="A31" s="481"/>
      <c r="B31" s="468" t="s">
        <v>256</v>
      </c>
      <c r="C31" s="194" t="s">
        <v>178</v>
      </c>
      <c r="D31" s="190">
        <f>+'Estados financieros'!K9</f>
        <v>465266482</v>
      </c>
      <c r="E31" s="464">
        <f>D31/D32</f>
        <v>0.51417514011646503</v>
      </c>
      <c r="F31" s="190">
        <f>+'Estados financieros'!L9</f>
        <v>425205970</v>
      </c>
      <c r="G31" s="464">
        <f>F31/F32</f>
        <v>0.40729437274372371</v>
      </c>
      <c r="H31" s="190">
        <f>+'Estados financieros'!M9</f>
        <v>1262392367</v>
      </c>
      <c r="I31" s="464">
        <f>H31/H32</f>
        <v>1</v>
      </c>
      <c r="J31" s="190">
        <f>+'Estados financieros'!N9</f>
        <v>1860941447</v>
      </c>
      <c r="K31" s="464">
        <f>J31/J32</f>
        <v>1</v>
      </c>
      <c r="L31" s="190">
        <f>+'Estados financieros'!O9</f>
        <v>1364844587</v>
      </c>
      <c r="M31" s="464">
        <f>L31/L32</f>
        <v>0.47565487124917583</v>
      </c>
      <c r="N31" s="190">
        <f>+'Estados financieros'!P9</f>
        <v>1648072179</v>
      </c>
      <c r="O31" s="464">
        <f>N31/N32</f>
        <v>0.48230363923685149</v>
      </c>
      <c r="P31" s="459"/>
    </row>
    <row r="32" spans="1:16" ht="29.25" customHeight="1" thickBot="1">
      <c r="A32" s="481"/>
      <c r="B32" s="469"/>
      <c r="C32" s="195" t="s">
        <v>173</v>
      </c>
      <c r="D32" s="192">
        <f>+'Estados financieros'!K7</f>
        <v>904879380</v>
      </c>
      <c r="E32" s="465"/>
      <c r="F32" s="192">
        <f>+'Estados financieros'!L7</f>
        <v>1043977031</v>
      </c>
      <c r="G32" s="465"/>
      <c r="H32" s="192">
        <f>+'Estados financieros'!M7</f>
        <v>1262392367</v>
      </c>
      <c r="I32" s="465"/>
      <c r="J32" s="192">
        <f>+'Estados financieros'!N7</f>
        <v>1860941447</v>
      </c>
      <c r="K32" s="465"/>
      <c r="L32" s="192">
        <f>+'Estados financieros'!O7</f>
        <v>2869401050</v>
      </c>
      <c r="M32" s="465"/>
      <c r="N32" s="192">
        <f>+'Estados financieros'!P7</f>
        <v>3417084270</v>
      </c>
      <c r="O32" s="465"/>
      <c r="P32" s="459"/>
    </row>
    <row r="33" spans="1:16" ht="29.25" customHeight="1" thickBot="1">
      <c r="A33" s="481"/>
      <c r="B33" s="199" t="s">
        <v>257</v>
      </c>
      <c r="C33" s="194" t="s">
        <v>127</v>
      </c>
      <c r="D33" s="190">
        <f>+'Estados financieros'!K19</f>
        <v>17863792</v>
      </c>
      <c r="E33" s="464">
        <f>D33/D34</f>
        <v>1.9741627884149598E-2</v>
      </c>
      <c r="F33" s="190">
        <f>+'Estados financieros'!L19</f>
        <v>16990062</v>
      </c>
      <c r="G33" s="464">
        <f>F33/F34</f>
        <v>1.627436379871848E-2</v>
      </c>
      <c r="H33" s="190">
        <f>+'Estados financieros'!M19</f>
        <v>-52372583</v>
      </c>
      <c r="I33" s="464">
        <f>H33/H34</f>
        <v>-4.1486770966827305E-2</v>
      </c>
      <c r="J33" s="190">
        <f>+'Estados financieros'!N19</f>
        <v>-29761111</v>
      </c>
      <c r="K33" s="464">
        <f>J33/J34</f>
        <v>-1.5992502637832862E-2</v>
      </c>
      <c r="L33" s="190">
        <f>+'Estados financieros'!O19</f>
        <v>103030854</v>
      </c>
      <c r="M33" s="464">
        <f>L33/L34</f>
        <v>3.5906745764939345E-2</v>
      </c>
      <c r="N33" s="190">
        <f>+'Estados financieros'!P19</f>
        <v>234424396</v>
      </c>
      <c r="O33" s="464">
        <f>N33/N34</f>
        <v>6.86036332372921E-2</v>
      </c>
      <c r="P33" s="459"/>
    </row>
    <row r="34" spans="1:16" ht="29.25" customHeight="1" thickBot="1">
      <c r="A34" s="481"/>
      <c r="B34" s="200" t="s">
        <v>185</v>
      </c>
      <c r="C34" s="195" t="s">
        <v>173</v>
      </c>
      <c r="D34" s="192">
        <f>+'Estados financieros'!K7</f>
        <v>904879380</v>
      </c>
      <c r="E34" s="465"/>
      <c r="F34" s="192">
        <f>+'Estados financieros'!L7</f>
        <v>1043977031</v>
      </c>
      <c r="G34" s="465"/>
      <c r="H34" s="192">
        <f>+'Estados financieros'!M7</f>
        <v>1262392367</v>
      </c>
      <c r="I34" s="465"/>
      <c r="J34" s="192">
        <f>+'Estados financieros'!N7</f>
        <v>1860941447</v>
      </c>
      <c r="K34" s="465"/>
      <c r="L34" s="192">
        <f>+'Estados financieros'!O7</f>
        <v>2869401050</v>
      </c>
      <c r="M34" s="465"/>
      <c r="N34" s="192">
        <f>+'Estados financieros'!P7</f>
        <v>3417084270</v>
      </c>
      <c r="O34" s="465"/>
      <c r="P34" s="459"/>
    </row>
    <row r="35" spans="1:16" ht="29.25" customHeight="1" thickBot="1">
      <c r="A35" s="481"/>
      <c r="B35" s="468" t="s">
        <v>271</v>
      </c>
      <c r="C35" s="194" t="s">
        <v>127</v>
      </c>
      <c r="D35" s="190">
        <f>+'Estados financieros'!K19</f>
        <v>17863792</v>
      </c>
      <c r="E35" s="464">
        <f>D35/D36</f>
        <v>4.6484804392246885E-2</v>
      </c>
      <c r="F35" s="233">
        <f>+'Estados financieros'!L19</f>
        <v>16990062</v>
      </c>
      <c r="G35" s="464">
        <f>F35/F36</f>
        <v>3.5399517644057396E-2</v>
      </c>
      <c r="H35" s="233">
        <f>+'Estados financieros'!M19</f>
        <v>-52372583</v>
      </c>
      <c r="I35" s="464">
        <f>H35/H36</f>
        <v>-0.10256537224655594</v>
      </c>
      <c r="J35" s="233">
        <f>+'Estados financieros'!N19</f>
        <v>-29761111</v>
      </c>
      <c r="K35" s="464">
        <f>J35/J36</f>
        <v>-4.143119782423723E-2</v>
      </c>
      <c r="L35" s="233">
        <f>+'Estados financieros'!O19</f>
        <v>103030854</v>
      </c>
      <c r="M35" s="464">
        <f>L35/L36</f>
        <v>0.13957122935823246</v>
      </c>
      <c r="N35" s="233">
        <f>+'Estados financieros'!P19</f>
        <v>234424396</v>
      </c>
      <c r="O35" s="464">
        <f>N35/N36</f>
        <v>0.23841384180928429</v>
      </c>
      <c r="P35" s="459"/>
    </row>
    <row r="36" spans="1:16" ht="29.25" customHeight="1" thickBot="1">
      <c r="A36" s="481"/>
      <c r="B36" s="469"/>
      <c r="C36" s="195" t="s">
        <v>174</v>
      </c>
      <c r="D36" s="192">
        <f>+'Estados financieros'!B18</f>
        <v>384293152</v>
      </c>
      <c r="E36" s="465"/>
      <c r="F36" s="223">
        <f>+'Estados financieros'!C18</f>
        <v>479951794</v>
      </c>
      <c r="G36" s="465"/>
      <c r="H36" s="223">
        <f>+'Estados financieros'!D18</f>
        <v>510626363</v>
      </c>
      <c r="I36" s="465"/>
      <c r="J36" s="223">
        <f>+'Estados financieros'!E18</f>
        <v>718326106</v>
      </c>
      <c r="K36" s="465"/>
      <c r="L36" s="223">
        <f>+'Estados financieros'!F18</f>
        <v>738195504</v>
      </c>
      <c r="M36" s="465"/>
      <c r="N36" s="223">
        <f>+'Estados financieros'!G18</f>
        <v>983266719</v>
      </c>
      <c r="O36" s="465"/>
      <c r="P36" s="459"/>
    </row>
    <row r="37" spans="1:16" ht="29.25" customHeight="1" thickBot="1">
      <c r="A37" s="481"/>
      <c r="B37" s="468" t="s">
        <v>272</v>
      </c>
      <c r="C37" s="194" t="s">
        <v>127</v>
      </c>
      <c r="D37" s="190">
        <f>+'Estados financieros'!K19</f>
        <v>17863792</v>
      </c>
      <c r="E37" s="470">
        <f>D37/D38</f>
        <v>1.1353011395279358</v>
      </c>
      <c r="F37" s="233">
        <f>+'Estados financieros'!L19</f>
        <v>16990062</v>
      </c>
      <c r="G37" s="464">
        <f>F37/F38</f>
        <v>9.8364862369880526E-2</v>
      </c>
      <c r="H37" s="233">
        <f>+'Estados financieros'!M19</f>
        <v>-52372583</v>
      </c>
      <c r="I37" s="464">
        <f>H37/H38</f>
        <v>-0.435160534951684</v>
      </c>
      <c r="J37" s="233">
        <f>+'Estados financieros'!N19</f>
        <v>-29761111</v>
      </c>
      <c r="K37" s="464">
        <f>J37/J38</f>
        <v>-0.32286485998770925</v>
      </c>
      <c r="L37" s="233">
        <f>+'Estados financieros'!O19</f>
        <v>103030854</v>
      </c>
      <c r="M37" s="464">
        <f>L37/L38</f>
        <v>0.53037856664854122</v>
      </c>
      <c r="N37" s="233">
        <f>+'Estados financieros'!P19</f>
        <v>234424396</v>
      </c>
      <c r="O37" s="464">
        <f>N37/N38</f>
        <v>0.54684727846162429</v>
      </c>
      <c r="P37" s="459"/>
    </row>
    <row r="38" spans="1:16" ht="29.25" customHeight="1" thickBot="1">
      <c r="A38" s="481"/>
      <c r="B38" s="469"/>
      <c r="C38" s="195" t="s">
        <v>183</v>
      </c>
      <c r="D38" s="192">
        <f>+'Estados financieros'!B40</f>
        <v>15734849</v>
      </c>
      <c r="E38" s="471"/>
      <c r="F38" s="223">
        <f>+'Estados financieros'!C40</f>
        <v>172724910</v>
      </c>
      <c r="G38" s="465"/>
      <c r="H38" s="223">
        <f>+'Estados financieros'!D40</f>
        <v>120352327</v>
      </c>
      <c r="I38" s="465"/>
      <c r="J38" s="223">
        <f>+'Estados financieros'!E40</f>
        <v>92178229</v>
      </c>
      <c r="K38" s="465"/>
      <c r="L38" s="223">
        <f>+'Estados financieros'!F40</f>
        <v>194259083</v>
      </c>
      <c r="M38" s="465"/>
      <c r="N38" s="223">
        <f>+'Estados financieros'!G40</f>
        <v>428683483</v>
      </c>
      <c r="O38" s="465"/>
      <c r="P38" s="459"/>
    </row>
    <row r="39" spans="1:16" ht="29.25" customHeight="1" thickBot="1">
      <c r="A39" s="481"/>
      <c r="B39" s="468" t="s">
        <v>260</v>
      </c>
      <c r="C39" s="194" t="s">
        <v>187</v>
      </c>
      <c r="D39" s="190"/>
      <c r="E39" s="474">
        <f>+E33*E9*E21</f>
        <v>1.1353011395279358</v>
      </c>
      <c r="F39" s="190"/>
      <c r="G39" s="474">
        <f>+G33*G9*G21</f>
        <v>9.8364862369880526E-2</v>
      </c>
      <c r="H39" s="190"/>
      <c r="I39" s="474">
        <f>+I33*I9*I21</f>
        <v>-0.435160534951684</v>
      </c>
      <c r="J39" s="190"/>
      <c r="K39" s="474">
        <f>+K33*K9*K21</f>
        <v>-0.32286485998770925</v>
      </c>
      <c r="L39" s="209"/>
      <c r="M39" s="474">
        <f>+M33*M9*M21</f>
        <v>0.465753846629537</v>
      </c>
      <c r="N39" s="209"/>
      <c r="O39" s="474">
        <f>+O33*O9*O21</f>
        <v>0.51864226689923343</v>
      </c>
      <c r="P39" s="459"/>
    </row>
    <row r="40" spans="1:16" ht="29.25" customHeight="1" thickBot="1">
      <c r="A40" s="481"/>
      <c r="B40" s="469"/>
      <c r="C40" s="195"/>
      <c r="D40" s="192"/>
      <c r="E40" s="475"/>
      <c r="F40" s="192"/>
      <c r="G40" s="475"/>
      <c r="H40" s="192"/>
      <c r="I40" s="475"/>
      <c r="J40" s="193"/>
      <c r="K40" s="475"/>
      <c r="L40" s="193"/>
      <c r="M40" s="475"/>
      <c r="N40" s="193"/>
      <c r="O40" s="475"/>
      <c r="P40" s="459"/>
    </row>
    <row r="41" spans="1:16" ht="29.25" customHeight="1" thickBot="1">
      <c r="A41" s="481"/>
      <c r="B41" s="199" t="s">
        <v>261</v>
      </c>
      <c r="C41" s="194" t="s">
        <v>198</v>
      </c>
      <c r="D41" s="190"/>
      <c r="E41" s="472">
        <f>+'Estados financieros'!K9+'Estados financieros'!B54</f>
        <v>465266482</v>
      </c>
      <c r="F41" s="190"/>
      <c r="G41" s="472">
        <f>+'Estados financieros'!L9+'Estados financieros'!C54</f>
        <v>425205970</v>
      </c>
      <c r="H41" s="190"/>
      <c r="I41" s="472">
        <f>+'Estados financieros'!M9+'Estados financieros'!D54</f>
        <v>1330350281</v>
      </c>
      <c r="J41" s="190"/>
      <c r="K41" s="472">
        <f>+'Estados financieros'!N9+'Estados financieros'!E54</f>
        <v>1960951189</v>
      </c>
      <c r="L41" s="190"/>
      <c r="M41" s="472">
        <f>+'Estados financieros'!O9+'Estados financieros'!F54</f>
        <v>1477568217</v>
      </c>
      <c r="N41" s="190"/>
      <c r="O41" s="472">
        <f>+'Estados financieros'!P9+'Estados financieros'!G54</f>
        <v>1746692330</v>
      </c>
      <c r="P41" s="459"/>
    </row>
    <row r="42" spans="1:16" ht="29.25" customHeight="1" thickBot="1">
      <c r="A42" s="481"/>
      <c r="B42" s="200"/>
      <c r="C42" s="195"/>
      <c r="D42" s="192"/>
      <c r="E42" s="473"/>
      <c r="F42" s="192"/>
      <c r="G42" s="473"/>
      <c r="H42" s="192"/>
      <c r="I42" s="473"/>
      <c r="J42" s="192"/>
      <c r="K42" s="473"/>
      <c r="L42" s="192"/>
      <c r="M42" s="473"/>
      <c r="N42" s="192"/>
      <c r="O42" s="473"/>
      <c r="P42" s="459"/>
    </row>
    <row r="43" spans="1:16" ht="29.25" customHeight="1" thickBot="1">
      <c r="A43" s="481"/>
      <c r="B43" s="199" t="s">
        <v>262</v>
      </c>
      <c r="C43" s="194" t="s">
        <v>199</v>
      </c>
      <c r="D43" s="190">
        <f>+E41</f>
        <v>465266482</v>
      </c>
      <c r="E43" s="474">
        <f>+D43/D44</f>
        <v>0.51417514011646503</v>
      </c>
      <c r="F43" s="190">
        <f>+G41</f>
        <v>425205970</v>
      </c>
      <c r="G43" s="474">
        <f>+F43/F44</f>
        <v>0.40729437274372371</v>
      </c>
      <c r="H43" s="190">
        <f>+I41</f>
        <v>1330350281</v>
      </c>
      <c r="I43" s="474">
        <f>+H43/H44</f>
        <v>1.0538326401335092</v>
      </c>
      <c r="J43" s="190">
        <f>+K41</f>
        <v>1960951189</v>
      </c>
      <c r="K43" s="474">
        <f>+J43/J44</f>
        <v>1.0537414770148865</v>
      </c>
      <c r="L43" s="190">
        <f>+M41</f>
        <v>1477568217</v>
      </c>
      <c r="M43" s="474">
        <f>+L43/L44</f>
        <v>0.51493959584352977</v>
      </c>
      <c r="N43" s="190">
        <f>+O41</f>
        <v>1746692330</v>
      </c>
      <c r="O43" s="474">
        <f>+N43/N44</f>
        <v>0.51116454614097062</v>
      </c>
      <c r="P43" s="459"/>
    </row>
    <row r="44" spans="1:16" ht="29.25" customHeight="1" thickBot="1">
      <c r="A44" s="481"/>
      <c r="B44" s="200"/>
      <c r="C44" s="195" t="s">
        <v>173</v>
      </c>
      <c r="D44" s="192">
        <f>+'Estados financieros'!K7</f>
        <v>904879380</v>
      </c>
      <c r="E44" s="475"/>
      <c r="F44" s="192">
        <f>+'Estados financieros'!L7</f>
        <v>1043977031</v>
      </c>
      <c r="G44" s="475"/>
      <c r="H44" s="192">
        <f>+'Estados financieros'!M7</f>
        <v>1262392367</v>
      </c>
      <c r="I44" s="475"/>
      <c r="J44" s="192">
        <f>+'Estados financieros'!N7</f>
        <v>1860941447</v>
      </c>
      <c r="K44" s="475"/>
      <c r="L44" s="192">
        <f>+'Estados financieros'!O7</f>
        <v>2869401050</v>
      </c>
      <c r="M44" s="475"/>
      <c r="N44" s="192">
        <f>+'Estados financieros'!P7</f>
        <v>3417084270</v>
      </c>
      <c r="O44" s="475"/>
      <c r="P44" s="459"/>
    </row>
    <row r="45" spans="1:16" ht="29.25" customHeight="1" thickBot="1">
      <c r="A45" s="481"/>
      <c r="B45" s="468" t="s">
        <v>263</v>
      </c>
      <c r="C45" s="194" t="s">
        <v>200</v>
      </c>
      <c r="D45" s="190"/>
      <c r="E45" s="472">
        <f>+'Estados financieros'!K19+'Estados financieros'!K15+'Estados financieros'!K18</f>
        <v>32217792</v>
      </c>
      <c r="F45" s="190"/>
      <c r="G45" s="472">
        <f>+'Estados financieros'!L19+'Estados financieros'!L15+'Estados financieros'!L18</f>
        <v>31568062</v>
      </c>
      <c r="H45" s="190"/>
      <c r="I45" s="479">
        <f>+'Estados financieros'!M19+'Estados financieros'!M15+'Estados financieros'!M18</f>
        <v>-50317583</v>
      </c>
      <c r="J45" s="190"/>
      <c r="K45" s="472">
        <f>+'Estados financieros'!N19+'Estados financieros'!N15+'Estados financieros'!N18</f>
        <v>-28371111</v>
      </c>
      <c r="L45" s="190"/>
      <c r="M45" s="472">
        <f>+'Estados financieros'!O19+'Estados financieros'!O18</f>
        <v>162819854</v>
      </c>
      <c r="N45" s="190"/>
      <c r="O45" s="472">
        <f>+'Estados financieros'!P19+'Estados financieros'!P18</f>
        <v>314156396</v>
      </c>
      <c r="P45" s="459"/>
    </row>
    <row r="46" spans="1:16" ht="29.25" customHeight="1" thickBot="1">
      <c r="A46" s="481"/>
      <c r="B46" s="469"/>
      <c r="C46" s="195"/>
      <c r="D46" s="192"/>
      <c r="E46" s="473"/>
      <c r="F46" s="192"/>
      <c r="G46" s="473"/>
      <c r="H46" s="192"/>
      <c r="I46" s="480"/>
      <c r="J46" s="192"/>
      <c r="K46" s="473"/>
      <c r="L46" s="192"/>
      <c r="M46" s="473"/>
      <c r="N46" s="192"/>
      <c r="O46" s="473"/>
      <c r="P46" s="459"/>
    </row>
    <row r="47" spans="1:16" ht="29.25" customHeight="1" thickBot="1">
      <c r="A47" s="481"/>
      <c r="B47" s="199" t="s">
        <v>273</v>
      </c>
      <c r="C47" s="194" t="s">
        <v>201</v>
      </c>
      <c r="D47" s="190"/>
      <c r="E47" s="472">
        <f>+'Estados financieros'!K14</f>
        <v>32217792</v>
      </c>
      <c r="F47" s="190"/>
      <c r="G47" s="472">
        <f>+'Estados financieros'!L14</f>
        <v>31568062</v>
      </c>
      <c r="H47" s="190"/>
      <c r="I47" s="472">
        <f>+'Estados financieros'!M14</f>
        <v>-50317583</v>
      </c>
      <c r="J47" s="190"/>
      <c r="K47" s="472">
        <f>+'Estados financieros'!N14</f>
        <v>-28371111</v>
      </c>
      <c r="L47" s="190"/>
      <c r="M47" s="472">
        <f>+'Estados financieros'!O14</f>
        <v>185411589</v>
      </c>
      <c r="N47" s="190"/>
      <c r="O47" s="472">
        <f>+'Estados financieros'!P14</f>
        <v>331240975</v>
      </c>
      <c r="P47" s="459"/>
    </row>
    <row r="48" spans="1:16" ht="29.25" customHeight="1" thickBot="1">
      <c r="A48" s="481"/>
      <c r="B48" s="230"/>
      <c r="C48" s="195"/>
      <c r="D48" s="192"/>
      <c r="E48" s="473"/>
      <c r="F48" s="192"/>
      <c r="G48" s="473"/>
      <c r="H48" s="192"/>
      <c r="I48" s="473"/>
      <c r="J48" s="192"/>
      <c r="K48" s="473"/>
      <c r="L48" s="192"/>
      <c r="M48" s="473"/>
      <c r="N48" s="192"/>
      <c r="O48" s="473"/>
      <c r="P48" s="459"/>
    </row>
    <row r="49" spans="1:16" ht="29.25" customHeight="1" thickBot="1">
      <c r="A49" s="481"/>
      <c r="B49" s="468" t="s">
        <v>274</v>
      </c>
      <c r="C49" s="468"/>
      <c r="D49" s="468"/>
      <c r="E49" s="468"/>
      <c r="F49" s="468"/>
      <c r="G49" s="468"/>
      <c r="H49" s="468"/>
      <c r="I49" s="468"/>
      <c r="J49" s="468"/>
      <c r="K49" s="468"/>
      <c r="L49" s="468"/>
      <c r="M49" s="468"/>
      <c r="N49" s="468"/>
      <c r="O49" s="468"/>
      <c r="P49" s="459"/>
    </row>
    <row r="50" spans="1:16" ht="29.25" customHeight="1" thickBot="1">
      <c r="A50" s="481"/>
      <c r="B50" s="469"/>
      <c r="C50" s="469"/>
      <c r="D50" s="469"/>
      <c r="E50" s="469"/>
      <c r="F50" s="469"/>
      <c r="G50" s="469"/>
      <c r="H50" s="469"/>
      <c r="I50" s="469"/>
      <c r="J50" s="469"/>
      <c r="K50" s="469"/>
      <c r="L50" s="469"/>
      <c r="M50" s="469"/>
      <c r="N50" s="469"/>
      <c r="O50" s="469"/>
      <c r="P50" s="459"/>
    </row>
    <row r="51" spans="1:16" ht="29.25" customHeight="1" thickBot="1">
      <c r="A51" s="481"/>
      <c r="B51" s="468" t="s">
        <v>275</v>
      </c>
      <c r="C51" s="194"/>
      <c r="D51" s="190"/>
      <c r="E51" s="464"/>
      <c r="F51" s="190"/>
      <c r="G51" s="464"/>
      <c r="H51" s="190"/>
      <c r="I51" s="464"/>
      <c r="J51" s="190"/>
      <c r="K51" s="464"/>
      <c r="L51" s="190"/>
      <c r="M51" s="464"/>
      <c r="N51" s="190"/>
      <c r="O51" s="464">
        <f>+((('Estados financieros'!P29/('Estados financieros'!P29+'Estados financieros'!P28)*'Estados financieros'!K37+'Estados financieros'!P28/('Estados financieros'!P29+'Estados financieros'!P28)*'Estados financieros'!G26*(1-'Estados financieros'!P26))))</f>
        <v>0.13564000000000001</v>
      </c>
      <c r="P51" s="459"/>
    </row>
    <row r="52" spans="1:16" ht="29.25" customHeight="1" thickBot="1">
      <c r="A52" s="481"/>
      <c r="B52" s="469"/>
      <c r="C52" s="195"/>
      <c r="D52" s="192"/>
      <c r="E52" s="465"/>
      <c r="F52" s="192"/>
      <c r="G52" s="465"/>
      <c r="H52" s="192"/>
      <c r="I52" s="465"/>
      <c r="J52" s="192"/>
      <c r="K52" s="465"/>
      <c r="L52" s="192"/>
      <c r="M52" s="465"/>
      <c r="N52" s="192"/>
      <c r="O52" s="465"/>
      <c r="P52" s="459"/>
    </row>
    <row r="53" spans="1:16" ht="29.25" customHeight="1" thickBot="1">
      <c r="A53" s="481"/>
      <c r="B53" s="468" t="s">
        <v>276</v>
      </c>
      <c r="C53" s="194" t="s">
        <v>269</v>
      </c>
      <c r="D53" s="190"/>
      <c r="E53" s="464"/>
      <c r="F53" s="190"/>
      <c r="G53" s="464"/>
      <c r="H53" s="190"/>
      <c r="I53" s="464"/>
      <c r="J53" s="190"/>
      <c r="K53" s="464"/>
      <c r="L53" s="190"/>
      <c r="M53" s="464"/>
      <c r="N53" s="190"/>
      <c r="O53" s="472">
        <f>+'Estados financieros'!P25-('Estados financieros'!P36*O51)</f>
        <v>199909231.4314</v>
      </c>
      <c r="P53" s="459"/>
    </row>
    <row r="54" spans="1:16" ht="29.25" customHeight="1" thickBot="1">
      <c r="A54" s="481"/>
      <c r="B54" s="469"/>
      <c r="C54" s="195"/>
      <c r="D54" s="192"/>
      <c r="E54" s="465"/>
      <c r="F54" s="192"/>
      <c r="G54" s="465"/>
      <c r="H54" s="192"/>
      <c r="I54" s="465"/>
      <c r="J54" s="192"/>
      <c r="K54" s="465"/>
      <c r="L54" s="192"/>
      <c r="M54" s="465"/>
      <c r="N54" s="192"/>
      <c r="O54" s="473"/>
      <c r="P54" s="459"/>
    </row>
  </sheetData>
  <mergeCells count="208">
    <mergeCell ref="P19:P28"/>
    <mergeCell ref="C21:C22"/>
    <mergeCell ref="B29:B30"/>
    <mergeCell ref="E29:E30"/>
    <mergeCell ref="G29:G30"/>
    <mergeCell ref="I29:I30"/>
    <mergeCell ref="K29:K30"/>
    <mergeCell ref="M29:M30"/>
    <mergeCell ref="O29:O30"/>
    <mergeCell ref="C29:C30"/>
    <mergeCell ref="P29:P54"/>
    <mergeCell ref="I43:I44"/>
    <mergeCell ref="K43:K44"/>
    <mergeCell ref="M43:M44"/>
    <mergeCell ref="O43:O44"/>
    <mergeCell ref="B49:B50"/>
    <mergeCell ref="B23:B24"/>
    <mergeCell ref="E23:E24"/>
    <mergeCell ref="G23:G24"/>
    <mergeCell ref="B25:B26"/>
    <mergeCell ref="E25:E26"/>
    <mergeCell ref="G25:G26"/>
    <mergeCell ref="E43:E44"/>
    <mergeCell ref="G43:G44"/>
    <mergeCell ref="P7:P8"/>
    <mergeCell ref="P5:P6"/>
    <mergeCell ref="B15:B16"/>
    <mergeCell ref="E15:E16"/>
    <mergeCell ref="G15:G16"/>
    <mergeCell ref="I15:I16"/>
    <mergeCell ref="K15:K16"/>
    <mergeCell ref="M15:M16"/>
    <mergeCell ref="O15:O16"/>
    <mergeCell ref="D15:D16"/>
    <mergeCell ref="K9:K10"/>
    <mergeCell ref="I13:I14"/>
    <mergeCell ref="K13:K14"/>
    <mergeCell ref="M7:M8"/>
    <mergeCell ref="O11:O12"/>
    <mergeCell ref="O13:O14"/>
    <mergeCell ref="O7:O8"/>
    <mergeCell ref="K7:K8"/>
    <mergeCell ref="A3:A4"/>
    <mergeCell ref="B3:B4"/>
    <mergeCell ref="E3:E4"/>
    <mergeCell ref="G3:G4"/>
    <mergeCell ref="B9:B10"/>
    <mergeCell ref="E9:E10"/>
    <mergeCell ref="G9:G10"/>
    <mergeCell ref="E19:E20"/>
    <mergeCell ref="G19:G20"/>
    <mergeCell ref="A19:A28"/>
    <mergeCell ref="B19:B20"/>
    <mergeCell ref="A5:A18"/>
    <mergeCell ref="B5:B6"/>
    <mergeCell ref="E5:E6"/>
    <mergeCell ref="G5:G6"/>
    <mergeCell ref="B17:B18"/>
    <mergeCell ref="E17:E18"/>
    <mergeCell ref="G17:G18"/>
    <mergeCell ref="B13:B14"/>
    <mergeCell ref="E13:E14"/>
    <mergeCell ref="G13:G14"/>
    <mergeCell ref="B11:B12"/>
    <mergeCell ref="E11:E12"/>
    <mergeCell ref="G11:G12"/>
    <mergeCell ref="K53:K54"/>
    <mergeCell ref="I51:I52"/>
    <mergeCell ref="K51:K52"/>
    <mergeCell ref="M53:M54"/>
    <mergeCell ref="O53:O54"/>
    <mergeCell ref="B39:B40"/>
    <mergeCell ref="E39:E40"/>
    <mergeCell ref="G39:G40"/>
    <mergeCell ref="D2:E2"/>
    <mergeCell ref="F2:G2"/>
    <mergeCell ref="I23:I24"/>
    <mergeCell ref="I33:I34"/>
    <mergeCell ref="B21:B22"/>
    <mergeCell ref="E21:E22"/>
    <mergeCell ref="G21:G22"/>
    <mergeCell ref="B7:B8"/>
    <mergeCell ref="E7:E8"/>
    <mergeCell ref="G7:G8"/>
    <mergeCell ref="B27:B28"/>
    <mergeCell ref="E27:E28"/>
    <mergeCell ref="G27:G28"/>
    <mergeCell ref="B31:B32"/>
    <mergeCell ref="E31:E32"/>
    <mergeCell ref="I9:I10"/>
    <mergeCell ref="A29:A54"/>
    <mergeCell ref="G31:G32"/>
    <mergeCell ref="E33:E34"/>
    <mergeCell ref="G45:G46"/>
    <mergeCell ref="E41:E42"/>
    <mergeCell ref="G41:G42"/>
    <mergeCell ref="I41:I42"/>
    <mergeCell ref="B53:B54"/>
    <mergeCell ref="E53:E54"/>
    <mergeCell ref="G53:G54"/>
    <mergeCell ref="I53:I54"/>
    <mergeCell ref="E47:E48"/>
    <mergeCell ref="G47:G48"/>
    <mergeCell ref="I47:I48"/>
    <mergeCell ref="B45:B46"/>
    <mergeCell ref="E45:E46"/>
    <mergeCell ref="L2:M2"/>
    <mergeCell ref="M3:M4"/>
    <mergeCell ref="M5:M6"/>
    <mergeCell ref="I5:I6"/>
    <mergeCell ref="K5:K6"/>
    <mergeCell ref="K17:K18"/>
    <mergeCell ref="K19:K20"/>
    <mergeCell ref="M13:M14"/>
    <mergeCell ref="E35:E36"/>
    <mergeCell ref="G35:G36"/>
    <mergeCell ref="M35:M36"/>
    <mergeCell ref="M11:M12"/>
    <mergeCell ref="I7:I8"/>
    <mergeCell ref="G33:G34"/>
    <mergeCell ref="M23:M24"/>
    <mergeCell ref="K47:K48"/>
    <mergeCell ref="M47:M48"/>
    <mergeCell ref="O47:O48"/>
    <mergeCell ref="N2:O2"/>
    <mergeCell ref="M9:M10"/>
    <mergeCell ref="O9:O10"/>
    <mergeCell ref="M31:M32"/>
    <mergeCell ref="K23:K24"/>
    <mergeCell ref="I11:I12"/>
    <mergeCell ref="K11:K12"/>
    <mergeCell ref="K33:K34"/>
    <mergeCell ref="I25:I26"/>
    <mergeCell ref="K25:K26"/>
    <mergeCell ref="I27:I28"/>
    <mergeCell ref="K27:K28"/>
    <mergeCell ref="I31:I32"/>
    <mergeCell ref="K31:K32"/>
    <mergeCell ref="H2:I2"/>
    <mergeCell ref="J2:K2"/>
    <mergeCell ref="I3:I4"/>
    <mergeCell ref="I45:I46"/>
    <mergeCell ref="K45:K46"/>
    <mergeCell ref="M45:M46"/>
    <mergeCell ref="O45:O46"/>
    <mergeCell ref="O51:O52"/>
    <mergeCell ref="B51:B52"/>
    <mergeCell ref="E51:E52"/>
    <mergeCell ref="G51:G52"/>
    <mergeCell ref="M51:M52"/>
    <mergeCell ref="C49:C50"/>
    <mergeCell ref="D49:D50"/>
    <mergeCell ref="E49:E50"/>
    <mergeCell ref="F49:F50"/>
    <mergeCell ref="G49:G50"/>
    <mergeCell ref="H49:H50"/>
    <mergeCell ref="I49:I50"/>
    <mergeCell ref="J49:J50"/>
    <mergeCell ref="K49:K50"/>
    <mergeCell ref="L49:L50"/>
    <mergeCell ref="M49:M50"/>
    <mergeCell ref="N49:N50"/>
    <mergeCell ref="O49:O50"/>
    <mergeCell ref="O23:O24"/>
    <mergeCell ref="M21:M22"/>
    <mergeCell ref="K41:K42"/>
    <mergeCell ref="M41:M42"/>
    <mergeCell ref="O41:O42"/>
    <mergeCell ref="O39:O40"/>
    <mergeCell ref="I17:I18"/>
    <mergeCell ref="I19:I20"/>
    <mergeCell ref="O31:O32"/>
    <mergeCell ref="M33:M34"/>
    <mergeCell ref="O33:O34"/>
    <mergeCell ref="O37:O38"/>
    <mergeCell ref="I39:I40"/>
    <mergeCell ref="K39:K40"/>
    <mergeCell ref="M39:M40"/>
    <mergeCell ref="I21:I22"/>
    <mergeCell ref="K21:K22"/>
    <mergeCell ref="M17:M18"/>
    <mergeCell ref="O17:O18"/>
    <mergeCell ref="M19:M20"/>
    <mergeCell ref="O35:O36"/>
    <mergeCell ref="P1:P2"/>
    <mergeCell ref="P3:P4"/>
    <mergeCell ref="P9:P10"/>
    <mergeCell ref="O3:O4"/>
    <mergeCell ref="O5:O6"/>
    <mergeCell ref="P11:P16"/>
    <mergeCell ref="P17:P18"/>
    <mergeCell ref="M37:M38"/>
    <mergeCell ref="O21:O22"/>
    <mergeCell ref="M25:M26"/>
    <mergeCell ref="O25:O26"/>
    <mergeCell ref="M27:M28"/>
    <mergeCell ref="O27:O28"/>
    <mergeCell ref="A1:O1"/>
    <mergeCell ref="B37:B38"/>
    <mergeCell ref="E37:E38"/>
    <mergeCell ref="B35:B36"/>
    <mergeCell ref="I37:I38"/>
    <mergeCell ref="K37:K38"/>
    <mergeCell ref="I35:I36"/>
    <mergeCell ref="K35:K36"/>
    <mergeCell ref="G37:G38"/>
    <mergeCell ref="K3:K4"/>
    <mergeCell ref="O19:O20"/>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104"/>
  <sheetViews>
    <sheetView zoomScale="70" zoomScaleNormal="70" workbookViewId="0">
      <selection activeCell="L98" sqref="L98"/>
    </sheetView>
  </sheetViews>
  <sheetFormatPr baseColWidth="10" defaultRowHeight="15"/>
  <cols>
    <col min="1" max="1" width="25.7109375" bestFit="1" customWidth="1"/>
    <col min="2" max="2" width="34" bestFit="1" customWidth="1"/>
    <col min="3" max="4" width="8.85546875" bestFit="1" customWidth="1"/>
    <col min="5" max="6" width="10.140625" bestFit="1" customWidth="1"/>
    <col min="7" max="7" width="9.5703125" bestFit="1" customWidth="1"/>
    <col min="8" max="8" width="17.42578125" customWidth="1"/>
    <col min="9" max="9" width="21.85546875" customWidth="1"/>
    <col min="10" max="10" width="15.85546875" bestFit="1" customWidth="1"/>
  </cols>
  <sheetData>
    <row r="1" spans="1:8" ht="27.75" thickBot="1">
      <c r="A1" s="466" t="s">
        <v>179</v>
      </c>
      <c r="B1" s="467"/>
      <c r="C1" s="467"/>
      <c r="D1" s="467"/>
      <c r="E1" s="467"/>
      <c r="F1" s="467"/>
      <c r="G1" s="467"/>
      <c r="H1" s="467"/>
    </row>
    <row r="2" spans="1:8" ht="18.75" thickBot="1">
      <c r="A2" s="182" t="s">
        <v>168</v>
      </c>
      <c r="B2" s="183"/>
      <c r="C2" s="221">
        <v>2015</v>
      </c>
      <c r="D2" s="221">
        <v>2016</v>
      </c>
      <c r="E2" s="221">
        <v>2017</v>
      </c>
      <c r="F2" s="221">
        <v>2018</v>
      </c>
      <c r="G2" s="221">
        <v>2019</v>
      </c>
      <c r="H2" s="221">
        <v>2020</v>
      </c>
    </row>
    <row r="3" spans="1:8">
      <c r="A3" s="486" t="s">
        <v>171</v>
      </c>
      <c r="B3" s="514" t="s">
        <v>242</v>
      </c>
      <c r="C3" s="508">
        <v>1.4609939285230393</v>
      </c>
      <c r="D3" s="508">
        <v>1.9591578461044246</v>
      </c>
      <c r="E3" s="508">
        <v>1.2916863212635987</v>
      </c>
      <c r="F3" s="508">
        <v>1.1505396398558925</v>
      </c>
      <c r="G3" s="508">
        <v>1.329184330347682</v>
      </c>
      <c r="H3" s="508">
        <v>1.5668307785856241</v>
      </c>
    </row>
    <row r="4" spans="1:8" ht="15.75" thickBot="1">
      <c r="A4" s="487"/>
      <c r="B4" s="515"/>
      <c r="C4" s="509"/>
      <c r="D4" s="509"/>
      <c r="E4" s="509"/>
      <c r="F4" s="509"/>
      <c r="G4" s="509"/>
      <c r="H4" s="509"/>
    </row>
    <row r="5" spans="1:8" ht="18.75" thickBot="1">
      <c r="A5" s="222"/>
      <c r="B5" s="234"/>
      <c r="C5" s="235">
        <v>2015</v>
      </c>
      <c r="D5" s="235">
        <v>2016</v>
      </c>
      <c r="E5" s="235">
        <v>2017</v>
      </c>
      <c r="F5" s="235">
        <v>2018</v>
      </c>
      <c r="G5" s="235">
        <v>2019</v>
      </c>
      <c r="H5" s="235">
        <v>2020</v>
      </c>
    </row>
    <row r="6" spans="1:8" ht="15" customHeight="1">
      <c r="A6" s="491" t="s">
        <v>172</v>
      </c>
      <c r="B6" s="510" t="s">
        <v>243</v>
      </c>
      <c r="C6" s="512">
        <v>2.7544402366207268</v>
      </c>
      <c r="D6" s="512">
        <v>2.4042023816792284</v>
      </c>
      <c r="E6" s="512">
        <v>2.8612278794345078</v>
      </c>
      <c r="F6" s="512">
        <v>2.7992360955706963</v>
      </c>
      <c r="G6" s="512">
        <v>4.2528952321445432</v>
      </c>
      <c r="H6" s="512">
        <v>4.2082062579570021</v>
      </c>
    </row>
    <row r="7" spans="1:8" ht="15.75" customHeight="1" thickBot="1">
      <c r="A7" s="492"/>
      <c r="B7" s="511"/>
      <c r="C7" s="513"/>
      <c r="D7" s="513"/>
      <c r="E7" s="513"/>
      <c r="F7" s="513"/>
      <c r="G7" s="513"/>
      <c r="H7" s="513"/>
    </row>
    <row r="8" spans="1:8" ht="18.75" thickBot="1">
      <c r="A8" s="492"/>
      <c r="B8" s="234"/>
      <c r="C8" s="235">
        <v>2015</v>
      </c>
      <c r="D8" s="235">
        <v>2016</v>
      </c>
      <c r="E8" s="235">
        <v>2017</v>
      </c>
      <c r="F8" s="235">
        <v>2018</v>
      </c>
      <c r="G8" s="235">
        <v>2019</v>
      </c>
      <c r="H8" s="235">
        <v>2020</v>
      </c>
    </row>
    <row r="9" spans="1:8" ht="15" customHeight="1">
      <c r="A9" s="492"/>
      <c r="B9" s="519" t="s">
        <v>244</v>
      </c>
      <c r="C9" s="516">
        <v>16.223297688357782</v>
      </c>
      <c r="D9" s="516">
        <v>22.833295277003931</v>
      </c>
      <c r="E9" s="516">
        <v>18.184889659734658</v>
      </c>
      <c r="F9" s="516">
        <v>34.769143224922125</v>
      </c>
      <c r="G9" s="516">
        <v>45.186039046556346</v>
      </c>
      <c r="H9" s="516">
        <v>19.952404383233691</v>
      </c>
    </row>
    <row r="10" spans="1:8" ht="15.75" customHeight="1" thickBot="1">
      <c r="A10" s="492"/>
      <c r="B10" s="518"/>
      <c r="C10" s="513"/>
      <c r="D10" s="513"/>
      <c r="E10" s="513"/>
      <c r="F10" s="513"/>
      <c r="G10" s="513"/>
      <c r="H10" s="513"/>
    </row>
    <row r="11" spans="1:8" ht="18.75" thickBot="1">
      <c r="A11" s="492"/>
      <c r="B11" s="234"/>
      <c r="C11" s="235">
        <v>2015</v>
      </c>
      <c r="D11" s="235">
        <v>2016</v>
      </c>
      <c r="E11" s="235">
        <v>2017</v>
      </c>
      <c r="F11" s="235">
        <v>2018</v>
      </c>
      <c r="G11" s="235">
        <v>2019</v>
      </c>
      <c r="H11" s="235">
        <v>2020</v>
      </c>
    </row>
    <row r="12" spans="1:8" ht="15" customHeight="1">
      <c r="A12" s="492"/>
      <c r="B12" s="517" t="s">
        <v>245</v>
      </c>
      <c r="C12" s="512">
        <v>2.3546591327237598</v>
      </c>
      <c r="D12" s="512">
        <v>2.1751705984872305</v>
      </c>
      <c r="E12" s="512">
        <v>2.4722428344343044</v>
      </c>
      <c r="F12" s="512">
        <v>2.5906638105673969</v>
      </c>
      <c r="G12" s="512">
        <v>3.8870475835355398</v>
      </c>
      <c r="H12" s="512">
        <v>3.4752363768350021</v>
      </c>
    </row>
    <row r="13" spans="1:8" ht="15.75" customHeight="1" thickBot="1">
      <c r="A13" s="492"/>
      <c r="B13" s="518"/>
      <c r="C13" s="513"/>
      <c r="D13" s="513"/>
      <c r="E13" s="513"/>
      <c r="F13" s="513"/>
      <c r="G13" s="513"/>
      <c r="H13" s="513"/>
    </row>
    <row r="14" spans="1:8" ht="18.75" thickBot="1">
      <c r="A14" s="492"/>
      <c r="B14" s="234"/>
      <c r="C14" s="235">
        <v>2015</v>
      </c>
      <c r="D14" s="235">
        <v>2016</v>
      </c>
      <c r="E14" s="235">
        <v>2017</v>
      </c>
      <c r="F14" s="235">
        <v>2018</v>
      </c>
      <c r="G14" s="235">
        <v>2019</v>
      </c>
      <c r="H14" s="235">
        <v>2020</v>
      </c>
    </row>
    <row r="15" spans="1:8" ht="15" customHeight="1">
      <c r="A15" s="492"/>
      <c r="B15" s="520" t="s">
        <v>246</v>
      </c>
      <c r="C15" s="512">
        <v>7.5896777645657041</v>
      </c>
      <c r="D15" s="512">
        <v>8.4400467762781659</v>
      </c>
      <c r="E15" s="512">
        <v>11.311924955579203</v>
      </c>
      <c r="F15" s="512">
        <v>15.929128247311265</v>
      </c>
      <c r="G15" s="512">
        <v>9.2606931906573333</v>
      </c>
      <c r="H15" s="512">
        <v>7.0980633731927245</v>
      </c>
    </row>
    <row r="16" spans="1:8" ht="15.75" customHeight="1" thickBot="1">
      <c r="A16" s="492"/>
      <c r="B16" s="521"/>
      <c r="C16" s="513"/>
      <c r="D16" s="513"/>
      <c r="E16" s="513"/>
      <c r="F16" s="513"/>
      <c r="G16" s="513"/>
      <c r="H16" s="513"/>
    </row>
    <row r="17" spans="1:8" ht="15" customHeight="1">
      <c r="A17" s="492"/>
      <c r="B17" s="520" t="s">
        <v>247</v>
      </c>
      <c r="C17" s="512">
        <v>30.625294938457426</v>
      </c>
      <c r="D17" s="512">
        <v>47.898167622936072</v>
      </c>
      <c r="E17" s="512">
        <v>29.159298418195597</v>
      </c>
      <c r="F17" s="512">
        <v>52.200176252833977</v>
      </c>
      <c r="G17" s="512">
        <v>54.577081777488601</v>
      </c>
      <c r="H17" s="512">
        <v>24.412395960836879</v>
      </c>
    </row>
    <row r="18" spans="1:8" ht="15.75" customHeight="1" thickBot="1">
      <c r="A18" s="492"/>
      <c r="B18" s="521"/>
      <c r="C18" s="513"/>
      <c r="D18" s="513"/>
      <c r="E18" s="513"/>
      <c r="F18" s="513"/>
      <c r="G18" s="513"/>
      <c r="H18" s="513"/>
    </row>
    <row r="19" spans="1:8" ht="18.75" thickBot="1">
      <c r="A19" s="492"/>
      <c r="B19" s="234"/>
      <c r="C19" s="235">
        <v>2015</v>
      </c>
      <c r="D19" s="235">
        <v>2016</v>
      </c>
      <c r="E19" s="235">
        <v>2017</v>
      </c>
      <c r="F19" s="235">
        <v>2018</v>
      </c>
      <c r="G19" s="235">
        <v>2019</v>
      </c>
      <c r="H19" s="235">
        <v>2020</v>
      </c>
    </row>
    <row r="20" spans="1:8" ht="15" customHeight="1">
      <c r="A20" s="492"/>
      <c r="B20" s="520" t="s">
        <v>248</v>
      </c>
      <c r="C20" s="512">
        <v>-23.035617173891723</v>
      </c>
      <c r="D20" s="512">
        <v>-39.458120846657906</v>
      </c>
      <c r="E20" s="512">
        <v>-17.847373462616396</v>
      </c>
      <c r="F20" s="512">
        <v>-36.271048005522715</v>
      </c>
      <c r="G20" s="512">
        <v>-45.316388586831266</v>
      </c>
      <c r="H20" s="512">
        <v>-17.314332587644152</v>
      </c>
    </row>
    <row r="21" spans="1:8" ht="15.75" customHeight="1" thickBot="1">
      <c r="A21" s="492"/>
      <c r="B21" s="521"/>
      <c r="C21" s="513"/>
      <c r="D21" s="513"/>
      <c r="E21" s="513"/>
      <c r="F21" s="513"/>
      <c r="G21" s="513"/>
      <c r="H21" s="513"/>
    </row>
    <row r="22" spans="1:8" ht="18.75" thickBot="1">
      <c r="A22" s="492"/>
      <c r="B22" s="234"/>
      <c r="C22" s="235">
        <v>2015</v>
      </c>
      <c r="D22" s="235">
        <v>2016</v>
      </c>
      <c r="E22" s="235">
        <v>2017</v>
      </c>
      <c r="F22" s="235">
        <v>2018</v>
      </c>
      <c r="G22" s="235">
        <v>2019</v>
      </c>
      <c r="H22" s="235">
        <v>2020</v>
      </c>
    </row>
    <row r="23" spans="1:8" ht="18" customHeight="1">
      <c r="A23" s="492"/>
      <c r="B23" s="520" t="s">
        <v>249</v>
      </c>
      <c r="C23" s="512">
        <v>57.507979898631376</v>
      </c>
      <c r="D23" s="512">
        <v>6.0441602256443501</v>
      </c>
      <c r="E23" s="512">
        <v>10.489139665741568</v>
      </c>
      <c r="F23" s="512">
        <v>20.188513786699026</v>
      </c>
      <c r="G23" s="512">
        <v>14.771000694984235</v>
      </c>
      <c r="H23" s="512">
        <v>7.9711125002686423</v>
      </c>
    </row>
    <row r="24" spans="1:8" ht="18" customHeight="1">
      <c r="A24" s="492"/>
      <c r="B24" s="522"/>
      <c r="C24" s="516"/>
      <c r="D24" s="516"/>
      <c r="E24" s="516"/>
      <c r="F24" s="516"/>
      <c r="G24" s="516"/>
      <c r="H24" s="516"/>
    </row>
    <row r="25" spans="1:8" ht="18.75" thickBot="1">
      <c r="A25" s="492"/>
      <c r="B25" s="236"/>
      <c r="C25" s="237"/>
      <c r="D25" s="237"/>
      <c r="E25" s="237"/>
      <c r="F25" s="237"/>
      <c r="G25" s="237"/>
      <c r="H25" s="237"/>
    </row>
    <row r="26" spans="1:8" ht="18.75" thickBot="1">
      <c r="A26" s="493"/>
      <c r="B26" s="234"/>
      <c r="C26" s="235">
        <v>2015</v>
      </c>
      <c r="D26" s="235">
        <v>2016</v>
      </c>
      <c r="E26" s="235">
        <v>2017</v>
      </c>
      <c r="F26" s="235">
        <v>2018</v>
      </c>
      <c r="G26" s="235">
        <v>2019</v>
      </c>
      <c r="H26" s="235">
        <v>2020</v>
      </c>
    </row>
    <row r="27" spans="1:8">
      <c r="A27" s="486" t="s">
        <v>175</v>
      </c>
      <c r="B27" s="520" t="s">
        <v>250</v>
      </c>
      <c r="C27" s="512">
        <v>0.95905508615464474</v>
      </c>
      <c r="D27" s="512">
        <v>0.64012029508113477</v>
      </c>
      <c r="E27" s="512">
        <v>0.76430451750882278</v>
      </c>
      <c r="F27" s="512">
        <v>0.87167634973856845</v>
      </c>
      <c r="G27" s="512">
        <v>0.73684571912537689</v>
      </c>
      <c r="H27" s="512">
        <v>0.56402116056975993</v>
      </c>
    </row>
    <row r="28" spans="1:8" ht="15.75" thickBot="1">
      <c r="A28" s="487"/>
      <c r="B28" s="521"/>
      <c r="C28" s="513"/>
      <c r="D28" s="513"/>
      <c r="E28" s="513"/>
      <c r="F28" s="513"/>
      <c r="G28" s="513"/>
      <c r="H28" s="513"/>
    </row>
    <row r="29" spans="1:8" ht="18.75" thickBot="1">
      <c r="A29" s="487"/>
      <c r="B29" s="234"/>
      <c r="C29" s="235">
        <v>2015</v>
      </c>
      <c r="D29" s="235">
        <v>2016</v>
      </c>
      <c r="E29" s="235">
        <v>2017</v>
      </c>
      <c r="F29" s="235">
        <v>2018</v>
      </c>
      <c r="G29" s="235">
        <v>2019</v>
      </c>
      <c r="H29" s="235">
        <v>2020</v>
      </c>
    </row>
    <row r="30" spans="1:8">
      <c r="A30" s="487"/>
      <c r="B30" s="520" t="s">
        <v>251</v>
      </c>
      <c r="C30" s="512">
        <v>24.423059414170417</v>
      </c>
      <c r="D30" s="512">
        <v>2.778706290829736</v>
      </c>
      <c r="E30" s="512">
        <v>4.2427626929058047</v>
      </c>
      <c r="F30" s="512">
        <v>7.7927956936556031</v>
      </c>
      <c r="G30" s="512">
        <v>3.3370333468519027</v>
      </c>
      <c r="H30" s="512">
        <v>2.1753865587809025</v>
      </c>
    </row>
    <row r="31" spans="1:8" ht="15.75" thickBot="1">
      <c r="A31" s="487"/>
      <c r="B31" s="521"/>
      <c r="C31" s="513"/>
      <c r="D31" s="513"/>
      <c r="E31" s="513"/>
      <c r="F31" s="513"/>
      <c r="G31" s="513"/>
      <c r="H31" s="513"/>
    </row>
    <row r="32" spans="1:8" ht="18.75" thickBot="1">
      <c r="A32" s="487"/>
      <c r="B32" s="234"/>
      <c r="C32" s="235">
        <v>2015</v>
      </c>
      <c r="D32" s="235">
        <v>2016</v>
      </c>
      <c r="E32" s="235">
        <v>2017</v>
      </c>
      <c r="F32" s="235">
        <v>2018</v>
      </c>
      <c r="G32" s="235">
        <v>2019</v>
      </c>
      <c r="H32" s="235">
        <v>2020</v>
      </c>
    </row>
    <row r="33" spans="1:8">
      <c r="A33" s="487"/>
      <c r="B33" s="520" t="s">
        <v>252</v>
      </c>
      <c r="C33" s="512">
        <v>23.423059350617219</v>
      </c>
      <c r="D33" s="512">
        <v>1.7787062908297362</v>
      </c>
      <c r="E33" s="512">
        <v>3.2427626929058047</v>
      </c>
      <c r="F33" s="512">
        <v>6.7927957045041518</v>
      </c>
      <c r="G33" s="512">
        <v>2.8000554136251123</v>
      </c>
      <c r="H33" s="512">
        <v>1.2936893022304756</v>
      </c>
    </row>
    <row r="34" spans="1:8" ht="15.75" thickBot="1">
      <c r="A34" s="487"/>
      <c r="B34" s="521"/>
      <c r="C34" s="513"/>
      <c r="D34" s="513"/>
      <c r="E34" s="513"/>
      <c r="F34" s="513"/>
      <c r="G34" s="513"/>
      <c r="H34" s="513"/>
    </row>
    <row r="35" spans="1:8" ht="18.75" thickBot="1">
      <c r="A35" s="487"/>
      <c r="B35" s="234"/>
      <c r="C35" s="235">
        <v>2015</v>
      </c>
      <c r="D35" s="235">
        <v>2016</v>
      </c>
      <c r="E35" s="235">
        <v>2017</v>
      </c>
      <c r="F35" s="235">
        <v>2018</v>
      </c>
      <c r="G35" s="235">
        <v>2019</v>
      </c>
      <c r="H35" s="235">
        <v>2020</v>
      </c>
    </row>
    <row r="36" spans="1:8">
      <c r="A36" s="487"/>
      <c r="B36" s="520" t="s">
        <v>253</v>
      </c>
      <c r="C36" s="512">
        <v>14.290464560543288</v>
      </c>
      <c r="D36" s="512">
        <v>1.2832034476092649</v>
      </c>
      <c r="E36" s="512">
        <v>2.8381174216930596</v>
      </c>
      <c r="F36" s="512">
        <v>6.2684942666885037</v>
      </c>
      <c r="G36" s="512">
        <v>2.6130036812744555</v>
      </c>
      <c r="H36" s="512">
        <v>1.2089263023926677</v>
      </c>
    </row>
    <row r="37" spans="1:8" ht="15.75" thickBot="1">
      <c r="A37" s="487"/>
      <c r="B37" s="522"/>
      <c r="C37" s="513"/>
      <c r="D37" s="513"/>
      <c r="E37" s="513"/>
      <c r="F37" s="513"/>
      <c r="G37" s="513"/>
      <c r="H37" s="513"/>
    </row>
    <row r="38" spans="1:8" ht="18.75" thickBot="1">
      <c r="A38" s="487"/>
      <c r="B38" s="234"/>
      <c r="C38" s="235">
        <v>2015</v>
      </c>
      <c r="D38" s="235">
        <v>2016</v>
      </c>
      <c r="E38" s="235">
        <v>2017</v>
      </c>
      <c r="F38" s="235">
        <v>2018</v>
      </c>
      <c r="G38" s="235">
        <v>2019</v>
      </c>
      <c r="H38" s="235">
        <v>2020</v>
      </c>
    </row>
    <row r="39" spans="1:8">
      <c r="A39" s="487"/>
      <c r="B39" s="520" t="s">
        <v>254</v>
      </c>
      <c r="C39" s="512">
        <v>9.1325947900739308</v>
      </c>
      <c r="D39" s="512">
        <v>0.49550284322047122</v>
      </c>
      <c r="E39" s="512">
        <v>0.40464527121274524</v>
      </c>
      <c r="F39" s="512">
        <v>0.52430143781564731</v>
      </c>
      <c r="G39" s="512">
        <v>0.18705173235065667</v>
      </c>
      <c r="H39" s="512">
        <v>8.4762999837808078E-2</v>
      </c>
    </row>
    <row r="40" spans="1:8" ht="15.75" thickBot="1">
      <c r="A40" s="490"/>
      <c r="B40" s="521"/>
      <c r="C40" s="513"/>
      <c r="D40" s="513"/>
      <c r="E40" s="513"/>
      <c r="F40" s="513"/>
      <c r="G40" s="513"/>
      <c r="H40" s="513"/>
    </row>
    <row r="41" spans="1:8" ht="18.75" thickBot="1">
      <c r="A41" s="506" t="s">
        <v>177</v>
      </c>
      <c r="B41" s="183"/>
      <c r="C41" s="224">
        <v>2015</v>
      </c>
      <c r="D41" s="224">
        <v>2016</v>
      </c>
      <c r="E41" s="224">
        <v>2017</v>
      </c>
      <c r="F41" s="224">
        <v>2018</v>
      </c>
      <c r="G41" s="224">
        <v>2019</v>
      </c>
      <c r="H41" s="224">
        <v>2020</v>
      </c>
    </row>
    <row r="42" spans="1:8" ht="15" customHeight="1">
      <c r="A42" s="507"/>
      <c r="B42" s="527" t="s">
        <v>255</v>
      </c>
      <c r="C42" s="529">
        <v>17863792</v>
      </c>
      <c r="D42" s="529">
        <v>16990062</v>
      </c>
      <c r="E42" s="529">
        <v>-50317583</v>
      </c>
      <c r="F42" s="529">
        <v>-28371111</v>
      </c>
      <c r="G42" s="529">
        <v>125622589.00000001</v>
      </c>
      <c r="H42" s="529">
        <v>251508975</v>
      </c>
    </row>
    <row r="43" spans="1:8" ht="15.75" customHeight="1" thickBot="1">
      <c r="A43" s="507"/>
      <c r="B43" s="528"/>
      <c r="C43" s="530"/>
      <c r="D43" s="530"/>
      <c r="E43" s="530"/>
      <c r="F43" s="530"/>
      <c r="G43" s="530"/>
      <c r="H43" s="530"/>
    </row>
    <row r="44" spans="1:8" ht="18.75" thickBot="1">
      <c r="A44" s="507"/>
      <c r="B44" s="183"/>
      <c r="C44" s="224">
        <v>2015</v>
      </c>
      <c r="D44" s="224">
        <v>2016</v>
      </c>
      <c r="E44" s="224">
        <v>2017</v>
      </c>
      <c r="F44" s="224">
        <v>2018</v>
      </c>
      <c r="G44" s="224">
        <v>2019</v>
      </c>
      <c r="H44" s="224">
        <v>2020</v>
      </c>
    </row>
    <row r="45" spans="1:8" ht="15" customHeight="1">
      <c r="A45" s="507"/>
      <c r="B45" s="525" t="s">
        <v>256</v>
      </c>
      <c r="C45" s="523">
        <v>0.51417514011646503</v>
      </c>
      <c r="D45" s="523">
        <v>0.40729437274372371</v>
      </c>
      <c r="E45" s="523">
        <v>1</v>
      </c>
      <c r="F45" s="523">
        <v>1</v>
      </c>
      <c r="G45" s="523">
        <v>0.47565487124917583</v>
      </c>
      <c r="H45" s="523">
        <v>0.48230363923685149</v>
      </c>
    </row>
    <row r="46" spans="1:8" ht="15.75" customHeight="1" thickBot="1">
      <c r="A46" s="507"/>
      <c r="B46" s="526"/>
      <c r="C46" s="524"/>
      <c r="D46" s="524"/>
      <c r="E46" s="524"/>
      <c r="F46" s="524"/>
      <c r="G46" s="524"/>
      <c r="H46" s="524"/>
    </row>
    <row r="47" spans="1:8" ht="18.75" thickBot="1">
      <c r="A47" s="507"/>
      <c r="B47" s="183"/>
      <c r="C47" s="224">
        <v>2015</v>
      </c>
      <c r="D47" s="224">
        <v>2016</v>
      </c>
      <c r="E47" s="224">
        <v>2017</v>
      </c>
      <c r="F47" s="224">
        <v>2018</v>
      </c>
      <c r="G47" s="224">
        <v>2019</v>
      </c>
      <c r="H47" s="224">
        <v>2020</v>
      </c>
    </row>
    <row r="48" spans="1:8" ht="18">
      <c r="A48" s="507"/>
      <c r="B48" s="238" t="s">
        <v>257</v>
      </c>
      <c r="C48" s="523">
        <v>1.9741627884149598E-2</v>
      </c>
      <c r="D48" s="523">
        <v>1.627436379871848E-2</v>
      </c>
      <c r="E48" s="523">
        <v>-4.1486770966827305E-2</v>
      </c>
      <c r="F48" s="523">
        <v>-1.5992502637832862E-2</v>
      </c>
      <c r="G48" s="523">
        <v>3.5906745764939345E-2</v>
      </c>
      <c r="H48" s="523">
        <v>6.86036332372921E-2</v>
      </c>
    </row>
    <row r="49" spans="1:8" ht="18.75" thickBot="1">
      <c r="A49" s="507"/>
      <c r="B49" s="239" t="s">
        <v>185</v>
      </c>
      <c r="C49" s="524"/>
      <c r="D49" s="524"/>
      <c r="E49" s="524"/>
      <c r="F49" s="524"/>
      <c r="G49" s="524"/>
      <c r="H49" s="524"/>
    </row>
    <row r="50" spans="1:8" ht="18.75" thickBot="1">
      <c r="A50" s="507"/>
      <c r="B50" s="183"/>
      <c r="C50" s="224">
        <v>2015</v>
      </c>
      <c r="D50" s="224">
        <v>2016</v>
      </c>
      <c r="E50" s="224">
        <v>2017</v>
      </c>
      <c r="F50" s="224">
        <v>2018</v>
      </c>
      <c r="G50" s="224">
        <v>2019</v>
      </c>
      <c r="H50" s="224">
        <v>2020</v>
      </c>
    </row>
    <row r="51" spans="1:8" ht="15" customHeight="1">
      <c r="A51" s="507"/>
      <c r="B51" s="525" t="s">
        <v>258</v>
      </c>
      <c r="C51" s="523">
        <v>4.6484804392246885E-2</v>
      </c>
      <c r="D51" s="523">
        <v>3.5399517644057396E-2</v>
      </c>
      <c r="E51" s="523">
        <v>-0.10256537224655594</v>
      </c>
      <c r="F51" s="523">
        <v>-4.143119782423723E-2</v>
      </c>
      <c r="G51" s="523">
        <v>0.13957122935823246</v>
      </c>
      <c r="H51" s="523">
        <v>0.23841384180928429</v>
      </c>
    </row>
    <row r="52" spans="1:8" ht="15.75" customHeight="1" thickBot="1">
      <c r="A52" s="507"/>
      <c r="B52" s="526"/>
      <c r="C52" s="524"/>
      <c r="D52" s="524"/>
      <c r="E52" s="524"/>
      <c r="F52" s="524"/>
      <c r="G52" s="524"/>
      <c r="H52" s="524"/>
    </row>
    <row r="53" spans="1:8" ht="15" customHeight="1">
      <c r="A53" s="507"/>
      <c r="B53" s="525" t="s">
        <v>259</v>
      </c>
      <c r="C53" s="531">
        <v>1.1353011395279358</v>
      </c>
      <c r="D53" s="531">
        <v>9.8364862369880526E-2</v>
      </c>
      <c r="E53" s="531">
        <v>-0.435160534951684</v>
      </c>
      <c r="F53" s="531">
        <v>-0.32286485998770925</v>
      </c>
      <c r="G53" s="531">
        <v>0.53037856664854122</v>
      </c>
      <c r="H53" s="531">
        <v>0.54684727846162429</v>
      </c>
    </row>
    <row r="54" spans="1:8" ht="15.75" customHeight="1" thickBot="1">
      <c r="A54" s="507"/>
      <c r="B54" s="526"/>
      <c r="C54" s="532"/>
      <c r="D54" s="532"/>
      <c r="E54" s="532"/>
      <c r="F54" s="532"/>
      <c r="G54" s="532"/>
      <c r="H54" s="532"/>
    </row>
    <row r="55" spans="1:8" ht="15" customHeight="1">
      <c r="A55" s="507"/>
      <c r="B55" s="527" t="s">
        <v>260</v>
      </c>
      <c r="C55" s="474">
        <v>1.1353011395279358</v>
      </c>
      <c r="D55" s="474">
        <v>9.8364862369880526E-2</v>
      </c>
      <c r="E55" s="474">
        <v>-0.435160534951684</v>
      </c>
      <c r="F55" s="474">
        <v>-0.32286485998770925</v>
      </c>
      <c r="G55" s="474">
        <v>0.465753846629537</v>
      </c>
      <c r="H55" s="474">
        <v>0.51864226689923343</v>
      </c>
    </row>
    <row r="56" spans="1:8" ht="15.75" customHeight="1" thickBot="1">
      <c r="A56" s="507"/>
      <c r="B56" s="528"/>
      <c r="C56" s="475"/>
      <c r="D56" s="475"/>
      <c r="E56" s="475"/>
      <c r="F56" s="475"/>
      <c r="G56" s="475"/>
      <c r="H56" s="475"/>
    </row>
    <row r="57" spans="1:8" ht="18.75" thickBot="1">
      <c r="A57" s="507"/>
      <c r="B57" s="183"/>
      <c r="C57" s="224">
        <v>2015</v>
      </c>
      <c r="D57" s="224">
        <v>2016</v>
      </c>
      <c r="E57" s="224">
        <v>2017</v>
      </c>
      <c r="F57" s="224">
        <v>2018</v>
      </c>
      <c r="G57" s="224">
        <v>2019</v>
      </c>
      <c r="H57" s="224">
        <v>2020</v>
      </c>
    </row>
    <row r="58" spans="1:8" ht="18">
      <c r="A58" s="507"/>
      <c r="B58" s="231" t="s">
        <v>261</v>
      </c>
      <c r="C58" s="533">
        <v>465266482</v>
      </c>
      <c r="D58" s="533">
        <v>425205970</v>
      </c>
      <c r="E58" s="533">
        <v>1330350281</v>
      </c>
      <c r="F58" s="533">
        <v>1960951189</v>
      </c>
      <c r="G58" s="533">
        <v>1477568217</v>
      </c>
      <c r="H58" s="533">
        <v>1746692330</v>
      </c>
    </row>
    <row r="59" spans="1:8" ht="18.75" thickBot="1">
      <c r="A59" s="507"/>
      <c r="B59" s="200"/>
      <c r="C59" s="534"/>
      <c r="D59" s="534"/>
      <c r="E59" s="534"/>
      <c r="F59" s="534"/>
      <c r="G59" s="534"/>
      <c r="H59" s="534"/>
    </row>
    <row r="60" spans="1:8" ht="15" customHeight="1">
      <c r="A60" s="507"/>
      <c r="B60" s="527" t="s">
        <v>263</v>
      </c>
      <c r="C60" s="533">
        <v>32217792</v>
      </c>
      <c r="D60" s="533">
        <v>31568062</v>
      </c>
      <c r="E60" s="533">
        <v>-50317583</v>
      </c>
      <c r="F60" s="533">
        <v>-28371111</v>
      </c>
      <c r="G60" s="533">
        <v>162819854</v>
      </c>
      <c r="H60" s="533">
        <v>314156396</v>
      </c>
    </row>
    <row r="61" spans="1:8" ht="15.75" customHeight="1" thickBot="1">
      <c r="A61" s="507"/>
      <c r="B61" s="528"/>
      <c r="C61" s="534"/>
      <c r="D61" s="534"/>
      <c r="E61" s="534"/>
      <c r="F61" s="534"/>
      <c r="G61" s="534"/>
      <c r="H61" s="534"/>
    </row>
    <row r="62" spans="1:8" ht="18">
      <c r="A62" s="507"/>
      <c r="B62" s="231" t="s">
        <v>264</v>
      </c>
      <c r="C62" s="533">
        <v>32217792</v>
      </c>
      <c r="D62" s="533">
        <v>31568062</v>
      </c>
      <c r="E62" s="533">
        <v>-50317583</v>
      </c>
      <c r="F62" s="533">
        <v>-28371111</v>
      </c>
      <c r="G62" s="533">
        <v>185411589</v>
      </c>
      <c r="H62" s="533">
        <v>331240975</v>
      </c>
    </row>
    <row r="63" spans="1:8" ht="18.75" thickBot="1">
      <c r="A63" s="507"/>
      <c r="B63" s="230"/>
      <c r="C63" s="534"/>
      <c r="D63" s="534"/>
      <c r="E63" s="534"/>
      <c r="F63" s="534"/>
      <c r="G63" s="534"/>
      <c r="H63" s="534"/>
    </row>
    <row r="64" spans="1:8" ht="18.75" thickBot="1">
      <c r="A64" s="507"/>
      <c r="B64" s="183"/>
      <c r="C64" s="224">
        <v>2015</v>
      </c>
      <c r="D64" s="224">
        <v>2016</v>
      </c>
      <c r="E64" s="224">
        <v>2017</v>
      </c>
      <c r="F64" s="224">
        <v>2018</v>
      </c>
      <c r="G64" s="224">
        <v>2019</v>
      </c>
      <c r="H64" s="224">
        <v>2020</v>
      </c>
    </row>
    <row r="65" spans="1:10" ht="18">
      <c r="A65" s="507"/>
      <c r="B65" s="231" t="s">
        <v>262</v>
      </c>
      <c r="C65" s="474">
        <v>0.51417514011646503</v>
      </c>
      <c r="D65" s="474">
        <v>0.40729437274372371</v>
      </c>
      <c r="E65" s="474">
        <v>1.0538326401335092</v>
      </c>
      <c r="F65" s="474">
        <v>1.0537414770148865</v>
      </c>
      <c r="G65" s="474">
        <v>0.51493959584352977</v>
      </c>
      <c r="H65" s="474">
        <v>0.51116454614097062</v>
      </c>
    </row>
    <row r="66" spans="1:10" ht="18.75" thickBot="1">
      <c r="A66" s="507"/>
      <c r="B66" s="232"/>
      <c r="C66" s="475"/>
      <c r="D66" s="475"/>
      <c r="E66" s="475"/>
      <c r="F66" s="475"/>
      <c r="G66" s="475"/>
      <c r="H66" s="475"/>
    </row>
    <row r="67" spans="1:10" ht="15" customHeight="1">
      <c r="A67" s="507"/>
      <c r="B67" s="468" t="s">
        <v>228</v>
      </c>
      <c r="C67" s="468"/>
      <c r="D67" s="468"/>
      <c r="E67" s="468"/>
      <c r="F67" s="468"/>
      <c r="G67" s="468"/>
      <c r="H67" s="468"/>
    </row>
    <row r="68" spans="1:10" ht="15.75" customHeight="1" thickBot="1">
      <c r="A68" s="507"/>
      <c r="B68" s="469"/>
      <c r="C68" s="469"/>
      <c r="D68" s="469"/>
      <c r="E68" s="469"/>
      <c r="F68" s="469"/>
      <c r="G68" s="469"/>
      <c r="H68" s="469"/>
    </row>
    <row r="69" spans="1:10" ht="15" customHeight="1">
      <c r="A69" s="507"/>
      <c r="B69" s="527" t="s">
        <v>229</v>
      </c>
      <c r="C69" s="464"/>
      <c r="D69" s="464"/>
      <c r="E69" s="464"/>
      <c r="F69" s="464"/>
      <c r="G69" s="464"/>
      <c r="H69" s="464">
        <v>0.13564000000000001</v>
      </c>
    </row>
    <row r="70" spans="1:10" ht="15.75" customHeight="1" thickBot="1">
      <c r="A70" s="507"/>
      <c r="B70" s="528"/>
      <c r="C70" s="465"/>
      <c r="D70" s="465"/>
      <c r="E70" s="465"/>
      <c r="F70" s="465"/>
      <c r="G70" s="465"/>
      <c r="H70" s="465"/>
    </row>
    <row r="71" spans="1:10" ht="15" customHeight="1">
      <c r="A71" s="507"/>
      <c r="B71" s="527" t="s">
        <v>186</v>
      </c>
      <c r="C71" s="464"/>
      <c r="D71" s="464"/>
      <c r="E71" s="464"/>
      <c r="F71" s="464"/>
      <c r="G71" s="464"/>
      <c r="H71" s="535">
        <v>199909231.4314</v>
      </c>
    </row>
    <row r="72" spans="1:10" ht="15.75" customHeight="1" thickBot="1">
      <c r="A72" s="507"/>
      <c r="B72" s="528"/>
      <c r="C72" s="465"/>
      <c r="D72" s="465"/>
      <c r="E72" s="465"/>
      <c r="F72" s="465"/>
      <c r="G72" s="465"/>
      <c r="H72" s="465"/>
    </row>
    <row r="73" spans="1:10" ht="15.75" thickBot="1"/>
    <row r="74" spans="1:10" ht="18">
      <c r="A74" s="388" t="s">
        <v>520</v>
      </c>
      <c r="B74" s="389">
        <v>2018</v>
      </c>
      <c r="C74" s="389">
        <v>2019</v>
      </c>
      <c r="D74" s="390">
        <v>2020</v>
      </c>
      <c r="E74" s="389">
        <v>2021</v>
      </c>
      <c r="F74" s="390">
        <v>2022</v>
      </c>
      <c r="G74" s="389">
        <v>2023</v>
      </c>
      <c r="H74" s="390">
        <v>2024</v>
      </c>
      <c r="I74" s="399">
        <v>2025</v>
      </c>
      <c r="J74" s="503" t="s">
        <v>521</v>
      </c>
    </row>
    <row r="75" spans="1:10" ht="18">
      <c r="A75" s="391" t="s">
        <v>517</v>
      </c>
      <c r="B75" s="392">
        <f>+'Estados financieros'!N9</f>
        <v>1860941447</v>
      </c>
      <c r="C75" s="392">
        <f>+'Estados financieros'!O9</f>
        <v>1364844587</v>
      </c>
      <c r="D75" s="392">
        <f>+'Estados financieros'!P9</f>
        <v>1648072179</v>
      </c>
      <c r="E75" s="392">
        <v>1699298289</v>
      </c>
      <c r="F75" s="392">
        <v>1765392546.6000004</v>
      </c>
      <c r="G75" s="392">
        <v>1831486804.2000008</v>
      </c>
      <c r="H75" s="392">
        <v>1897581061.8000002</v>
      </c>
      <c r="I75" s="400">
        <v>1963675319.3999996</v>
      </c>
      <c r="J75" s="504"/>
    </row>
    <row r="76" spans="1:10" ht="18">
      <c r="A76" s="391" t="s">
        <v>518</v>
      </c>
      <c r="B76" s="392">
        <f>+'Estados financieros'!N14</f>
        <v>-28371111</v>
      </c>
      <c r="C76" s="392">
        <f>+'Estados financieros'!O14</f>
        <v>185411589</v>
      </c>
      <c r="D76" s="392">
        <f>+'Estados financieros'!P14</f>
        <v>331240975</v>
      </c>
      <c r="E76" s="392">
        <v>420725114.5</v>
      </c>
      <c r="F76" s="392">
        <v>549186404.70000041</v>
      </c>
      <c r="G76" s="392">
        <v>677647694.90000069</v>
      </c>
      <c r="H76" s="392">
        <v>806108985.10000026</v>
      </c>
      <c r="I76" s="400">
        <v>934570275.29999959</v>
      </c>
      <c r="J76" s="504"/>
    </row>
    <row r="77" spans="1:10" ht="18.75" thickBot="1">
      <c r="A77" s="393" t="s">
        <v>519</v>
      </c>
      <c r="B77" s="392">
        <f>+'Estados financieros'!N19</f>
        <v>-29761111</v>
      </c>
      <c r="C77" s="392">
        <f>+'Estados financieros'!O19</f>
        <v>103030854</v>
      </c>
      <c r="D77" s="392">
        <f>+'Estados financieros'!P19</f>
        <v>234424396</v>
      </c>
      <c r="E77" s="392">
        <v>312126114.5</v>
      </c>
      <c r="F77" s="392">
        <v>411444404.70000041</v>
      </c>
      <c r="G77" s="392">
        <v>510762694.90000069</v>
      </c>
      <c r="H77" s="392">
        <v>610080985.10000026</v>
      </c>
      <c r="I77" s="400">
        <v>709399275.29999959</v>
      </c>
      <c r="J77" s="504"/>
    </row>
    <row r="78" spans="1:10" ht="18.75" thickBot="1">
      <c r="A78" s="394"/>
      <c r="B78" s="394"/>
      <c r="C78" s="394"/>
      <c r="D78" s="394"/>
      <c r="J78" s="504"/>
    </row>
    <row r="79" spans="1:10" ht="18">
      <c r="A79" s="388" t="s">
        <v>520</v>
      </c>
      <c r="B79" s="389">
        <v>2018</v>
      </c>
      <c r="C79" s="389">
        <v>2019</v>
      </c>
      <c r="D79" s="390">
        <v>2020</v>
      </c>
      <c r="E79" s="389">
        <v>2021</v>
      </c>
      <c r="F79" s="390">
        <v>2022</v>
      </c>
      <c r="G79" s="389">
        <v>2023</v>
      </c>
      <c r="H79" s="390">
        <v>2024</v>
      </c>
      <c r="I79" s="399">
        <v>2025</v>
      </c>
      <c r="J79" s="504"/>
    </row>
    <row r="80" spans="1:10" ht="18">
      <c r="A80" s="391" t="s">
        <v>517</v>
      </c>
      <c r="B80" s="395">
        <f>+B75/'Estados financieros'!N7</f>
        <v>1</v>
      </c>
      <c r="C80" s="395">
        <f>+C75/'Estados financieros'!O7</f>
        <v>0.47565487124917583</v>
      </c>
      <c r="D80" s="395">
        <f>+D75/'Estados financieros'!P7</f>
        <v>0.48230363923685149</v>
      </c>
      <c r="E80" s="395">
        <v>0.40262116150573324</v>
      </c>
      <c r="F80" s="395">
        <v>0.35536405865757181</v>
      </c>
      <c r="G80" s="395">
        <v>0.32046476711914568</v>
      </c>
      <c r="H80" s="395">
        <v>0.29363641635188242</v>
      </c>
      <c r="I80" s="401">
        <v>0.2723694205109235</v>
      </c>
      <c r="J80" s="504"/>
    </row>
    <row r="81" spans="1:10" ht="18">
      <c r="A81" s="391" t="s">
        <v>518</v>
      </c>
      <c r="B81" s="396">
        <f>+B76/'Estados financieros'!N7</f>
        <v>-1.5245568873613249E-2</v>
      </c>
      <c r="C81" s="396">
        <f>+C76/'Estados financieros'!O7</f>
        <v>6.4616826218837548E-2</v>
      </c>
      <c r="D81" s="396">
        <f>+D76/'Estados financieros'!P7</f>
        <v>9.693672992150118E-2</v>
      </c>
      <c r="E81" s="395">
        <v>9.9683990368934355E-2</v>
      </c>
      <c r="F81" s="395">
        <v>0.1105482801032643</v>
      </c>
      <c r="G81" s="395">
        <v>0.11857153992971943</v>
      </c>
      <c r="H81" s="395">
        <v>0.12473931066179923</v>
      </c>
      <c r="I81" s="401">
        <v>0.12962853980767672</v>
      </c>
      <c r="J81" s="504"/>
    </row>
    <row r="82" spans="1:10" ht="18.75" thickBot="1">
      <c r="A82" s="393" t="s">
        <v>519</v>
      </c>
      <c r="B82" s="397">
        <f>+B77/'Estados financieros'!N7</f>
        <v>-1.5992502637832862E-2</v>
      </c>
      <c r="C82" s="397">
        <f>+C77/'Estados financieros'!O7</f>
        <v>3.5906745764939345E-2</v>
      </c>
      <c r="D82" s="397">
        <f>+D77/'Estados financieros'!P7</f>
        <v>6.86036332372921E-2</v>
      </c>
      <c r="E82" s="395">
        <v>7.3953219143305743E-2</v>
      </c>
      <c r="F82" s="395">
        <v>8.2821553680927182E-2</v>
      </c>
      <c r="G82" s="395">
        <v>8.9370803927671522E-2</v>
      </c>
      <c r="H82" s="395">
        <v>9.4405450051899459E-2</v>
      </c>
      <c r="I82" s="401">
        <v>9.8396444470956579E-2</v>
      </c>
      <c r="J82" s="505"/>
    </row>
    <row r="83" spans="1:10" ht="15.75">
      <c r="A83" s="398"/>
      <c r="B83" s="398"/>
      <c r="C83" s="398"/>
      <c r="D83" s="398"/>
    </row>
    <row r="84" spans="1:10" ht="15.75" thickBot="1"/>
    <row r="85" spans="1:10" ht="18">
      <c r="A85" s="388" t="s">
        <v>520</v>
      </c>
      <c r="B85" s="389">
        <v>2018</v>
      </c>
      <c r="C85" s="389">
        <v>2019</v>
      </c>
      <c r="D85" s="390">
        <v>2020</v>
      </c>
      <c r="E85" s="389">
        <v>2021</v>
      </c>
      <c r="F85" s="390">
        <v>2022</v>
      </c>
      <c r="G85" s="389">
        <v>2023</v>
      </c>
      <c r="H85" s="390">
        <v>2024</v>
      </c>
      <c r="I85" s="399">
        <v>2025</v>
      </c>
      <c r="J85" s="503" t="s">
        <v>522</v>
      </c>
    </row>
    <row r="86" spans="1:10" ht="18">
      <c r="A86" s="391" t="s">
        <v>517</v>
      </c>
      <c r="B86" s="392">
        <v>1860941447</v>
      </c>
      <c r="C86" s="392">
        <v>1364844587</v>
      </c>
      <c r="D86" s="392">
        <v>1648072179</v>
      </c>
      <c r="E86" s="392">
        <v>2019995718.2965412</v>
      </c>
      <c r="F86" s="392">
        <v>2218595127.0018501</v>
      </c>
      <c r="G86" s="392">
        <v>2416832542.747159</v>
      </c>
      <c r="H86" s="392">
        <v>2614698264.1211386</v>
      </c>
      <c r="I86" s="400">
        <v>2812182329.7146387</v>
      </c>
      <c r="J86" s="504"/>
    </row>
    <row r="87" spans="1:10" ht="18">
      <c r="A87" s="391" t="s">
        <v>518</v>
      </c>
      <c r="B87" s="392">
        <v>-28371111</v>
      </c>
      <c r="C87" s="392">
        <v>185411589</v>
      </c>
      <c r="D87" s="392">
        <v>331240975</v>
      </c>
      <c r="E87" s="392">
        <v>503022543.79654121</v>
      </c>
      <c r="F87" s="392">
        <v>789351865.10185015</v>
      </c>
      <c r="G87" s="392">
        <v>1075248518.6311591</v>
      </c>
      <c r="H87" s="392">
        <v>1360700908.8880696</v>
      </c>
      <c r="I87" s="400">
        <v>1645697129.6168838</v>
      </c>
      <c r="J87" s="504"/>
    </row>
    <row r="88" spans="1:10" ht="18.75" thickBot="1">
      <c r="A88" s="393" t="s">
        <v>519</v>
      </c>
      <c r="B88" s="392">
        <v>-29761111</v>
      </c>
      <c r="C88" s="392">
        <v>103030854</v>
      </c>
      <c r="D88" s="392">
        <v>234424396</v>
      </c>
      <c r="E88" s="392">
        <v>372236682.40944052</v>
      </c>
      <c r="F88" s="392">
        <v>592013898.82638764</v>
      </c>
      <c r="G88" s="392">
        <v>806436388.97336936</v>
      </c>
      <c r="H88" s="392">
        <v>1034132690.7549329</v>
      </c>
      <c r="I88" s="400">
        <v>1250729818.5088317</v>
      </c>
      <c r="J88" s="504"/>
    </row>
    <row r="89" spans="1:10" ht="18.75" thickBot="1">
      <c r="A89" s="394"/>
      <c r="B89" s="394"/>
      <c r="C89" s="394"/>
      <c r="D89" s="394"/>
      <c r="J89" s="504"/>
    </row>
    <row r="90" spans="1:10" ht="18">
      <c r="A90" s="388" t="s">
        <v>520</v>
      </c>
      <c r="B90" s="389">
        <v>2018</v>
      </c>
      <c r="C90" s="389">
        <v>2019</v>
      </c>
      <c r="D90" s="390">
        <v>2020</v>
      </c>
      <c r="E90" s="389">
        <v>2021</v>
      </c>
      <c r="F90" s="390">
        <v>2022</v>
      </c>
      <c r="G90" s="389">
        <v>2023</v>
      </c>
      <c r="H90" s="390">
        <v>2024</v>
      </c>
      <c r="I90" s="399">
        <v>2025</v>
      </c>
      <c r="J90" s="504"/>
    </row>
    <row r="91" spans="1:10" ht="18">
      <c r="A91" s="391" t="s">
        <v>517</v>
      </c>
      <c r="B91" s="395">
        <v>1</v>
      </c>
      <c r="C91" s="395">
        <v>0.47565487124917583</v>
      </c>
      <c r="D91" s="395">
        <v>0.48230363923685149</v>
      </c>
      <c r="E91" s="395">
        <v>0.400372883115588</v>
      </c>
      <c r="F91" s="395">
        <v>0.37359193886495884</v>
      </c>
      <c r="G91" s="395">
        <v>0.35376126992647777</v>
      </c>
      <c r="H91" s="395">
        <v>0.33846860044766675</v>
      </c>
      <c r="I91" s="401">
        <v>0.32630172481026887</v>
      </c>
      <c r="J91" s="504"/>
    </row>
    <row r="92" spans="1:10" ht="18">
      <c r="A92" s="391" t="s">
        <v>518</v>
      </c>
      <c r="B92" s="396">
        <v>-1.5245568873613249E-2</v>
      </c>
      <c r="C92" s="396">
        <v>6.4616826218837548E-2</v>
      </c>
      <c r="D92" s="396">
        <v>9.693672992150118E-2</v>
      </c>
      <c r="E92" s="395">
        <v>9.970149159612858E-2</v>
      </c>
      <c r="F92" s="395">
        <v>0.1329199231265713</v>
      </c>
      <c r="G92" s="395">
        <v>0.15738834805871657</v>
      </c>
      <c r="H92" s="395">
        <v>0.17614060428269576</v>
      </c>
      <c r="I92" s="401">
        <v>0.1909527011229703</v>
      </c>
      <c r="J92" s="504"/>
    </row>
    <row r="93" spans="1:10" ht="18.75" thickBot="1">
      <c r="A93" s="393" t="s">
        <v>519</v>
      </c>
      <c r="B93" s="397">
        <v>-1.5992502637832862E-2</v>
      </c>
      <c r="C93" s="397">
        <v>3.5906745764939345E-2</v>
      </c>
      <c r="D93" s="397">
        <v>6.86036332372921E-2</v>
      </c>
      <c r="E93" s="395">
        <v>7.3779103781135155E-2</v>
      </c>
      <c r="F93" s="395">
        <v>9.9689942344928478E-2</v>
      </c>
      <c r="G93" s="395">
        <v>0.11804126104403743</v>
      </c>
      <c r="H93" s="395">
        <v>0.13386685925484879</v>
      </c>
      <c r="I93" s="401">
        <v>0.14512405285345745</v>
      </c>
      <c r="J93" s="505"/>
    </row>
    <row r="95" spans="1:10" ht="15.75" thickBot="1"/>
    <row r="96" spans="1:10" ht="18">
      <c r="A96" s="388" t="s">
        <v>520</v>
      </c>
      <c r="B96" s="389">
        <v>2018</v>
      </c>
      <c r="C96" s="389">
        <v>2019</v>
      </c>
      <c r="D96" s="390">
        <v>2020</v>
      </c>
      <c r="E96" s="389">
        <v>2021</v>
      </c>
      <c r="F96" s="390">
        <v>2022</v>
      </c>
      <c r="G96" s="389">
        <v>2023</v>
      </c>
      <c r="H96" s="390">
        <v>2024</v>
      </c>
      <c r="I96" s="399">
        <v>2025</v>
      </c>
      <c r="J96" s="503" t="s">
        <v>523</v>
      </c>
    </row>
    <row r="97" spans="1:10" ht="18">
      <c r="A97" s="391" t="s">
        <v>517</v>
      </c>
      <c r="B97" s="392">
        <v>1860941447</v>
      </c>
      <c r="C97" s="392">
        <v>1364844587</v>
      </c>
      <c r="D97" s="392">
        <v>1648072179</v>
      </c>
      <c r="E97" s="392">
        <v>2380885578.2965412</v>
      </c>
      <c r="F97" s="392">
        <v>2589156835.2498503</v>
      </c>
      <c r="G97" s="392">
        <v>2797325304.7762055</v>
      </c>
      <c r="H97" s="392">
        <v>3005388232.1725626</v>
      </c>
      <c r="I97" s="400">
        <v>3213342788.9098415</v>
      </c>
      <c r="J97" s="504"/>
    </row>
    <row r="98" spans="1:10" ht="18">
      <c r="A98" s="391" t="s">
        <v>518</v>
      </c>
      <c r="B98" s="392">
        <v>-28371111</v>
      </c>
      <c r="C98" s="392">
        <v>185411589</v>
      </c>
      <c r="D98" s="392">
        <v>331240975</v>
      </c>
      <c r="E98" s="392">
        <v>827722403.79654121</v>
      </c>
      <c r="F98" s="392">
        <v>1107011493.3498502</v>
      </c>
      <c r="G98" s="392">
        <v>1386051274.5162055</v>
      </c>
      <c r="H98" s="392">
        <v>1664835065.8308346</v>
      </c>
      <c r="I98" s="400">
        <v>1943356006.7657154</v>
      </c>
      <c r="J98" s="504"/>
    </row>
    <row r="99" spans="1:10" ht="18.75" thickBot="1">
      <c r="A99" s="393" t="s">
        <v>519</v>
      </c>
      <c r="B99" s="392">
        <v>-29761111</v>
      </c>
      <c r="C99" s="392">
        <v>103030854</v>
      </c>
      <c r="D99" s="392">
        <v>234424396</v>
      </c>
      <c r="E99" s="392">
        <v>612514578.80944049</v>
      </c>
      <c r="F99" s="392">
        <v>830258620.01238763</v>
      </c>
      <c r="G99" s="392">
        <v>1039538455.8871541</v>
      </c>
      <c r="H99" s="392">
        <v>1265274650.0314343</v>
      </c>
      <c r="I99" s="400">
        <v>1476950565.1419437</v>
      </c>
      <c r="J99" s="504"/>
    </row>
    <row r="100" spans="1:10" ht="18.75" thickBot="1">
      <c r="A100" s="394"/>
      <c r="B100" s="394"/>
      <c r="C100" s="394"/>
      <c r="D100" s="394"/>
      <c r="J100" s="504"/>
    </row>
    <row r="101" spans="1:10" ht="18">
      <c r="A101" s="388" t="s">
        <v>520</v>
      </c>
      <c r="B101" s="389">
        <v>2018</v>
      </c>
      <c r="C101" s="389">
        <v>2019</v>
      </c>
      <c r="D101" s="390">
        <v>2020</v>
      </c>
      <c r="E101" s="389">
        <v>2021</v>
      </c>
      <c r="F101" s="390">
        <v>2022</v>
      </c>
      <c r="G101" s="389">
        <v>2023</v>
      </c>
      <c r="H101" s="390">
        <v>2024</v>
      </c>
      <c r="I101" s="399">
        <v>2025</v>
      </c>
      <c r="J101" s="504"/>
    </row>
    <row r="102" spans="1:10" ht="18">
      <c r="A102" s="391" t="s">
        <v>517</v>
      </c>
      <c r="B102" s="395">
        <v>1</v>
      </c>
      <c r="C102" s="395">
        <v>0.47565487124917583</v>
      </c>
      <c r="D102" s="395">
        <v>0.48230363923685149</v>
      </c>
      <c r="E102" s="395">
        <v>0.4719029920294967</v>
      </c>
      <c r="F102" s="395">
        <v>0.43599127679218314</v>
      </c>
      <c r="G102" s="395">
        <v>0.40945548965931361</v>
      </c>
      <c r="H102" s="395">
        <v>0.38904280570486754</v>
      </c>
      <c r="I102" s="401">
        <v>0.37284897332183919</v>
      </c>
      <c r="J102" s="504"/>
    </row>
    <row r="103" spans="1:10" ht="18">
      <c r="A103" s="391" t="s">
        <v>518</v>
      </c>
      <c r="B103" s="396">
        <v>-1.5245568873613249E-2</v>
      </c>
      <c r="C103" s="396">
        <v>6.4616826218837548E-2</v>
      </c>
      <c r="D103" s="396">
        <v>9.693672992150118E-2</v>
      </c>
      <c r="E103" s="395">
        <v>0.1640585681571905</v>
      </c>
      <c r="F103" s="395">
        <v>0.1864110152920295</v>
      </c>
      <c r="G103" s="395">
        <v>0.20288176792700643</v>
      </c>
      <c r="H103" s="395">
        <v>0.21551029518022241</v>
      </c>
      <c r="I103" s="401">
        <v>0.22549050615519503</v>
      </c>
      <c r="J103" s="504"/>
    </row>
    <row r="104" spans="1:10" ht="18.75" thickBot="1">
      <c r="A104" s="393" t="s">
        <v>519</v>
      </c>
      <c r="B104" s="397">
        <v>-1.5992502637832862E-2</v>
      </c>
      <c r="C104" s="397">
        <v>3.5906745764939345E-2</v>
      </c>
      <c r="D104" s="397">
        <v>6.86036332372921E-2</v>
      </c>
      <c r="E104" s="395">
        <v>0.12140334043632098</v>
      </c>
      <c r="F104" s="395">
        <v>0.13980826146902212</v>
      </c>
      <c r="G104" s="395">
        <v>0.15216132594525481</v>
      </c>
      <c r="H104" s="395">
        <v>0.16378782433696903</v>
      </c>
      <c r="I104" s="401">
        <v>0.17137278467794823</v>
      </c>
      <c r="J104" s="505"/>
    </row>
  </sheetData>
  <mergeCells count="186">
    <mergeCell ref="B71:B72"/>
    <mergeCell ref="C71:C72"/>
    <mergeCell ref="D71:D72"/>
    <mergeCell ref="E71:E72"/>
    <mergeCell ref="F71:F72"/>
    <mergeCell ref="G71:G72"/>
    <mergeCell ref="H67:H68"/>
    <mergeCell ref="B69:B70"/>
    <mergeCell ref="C69:C70"/>
    <mergeCell ref="D69:D70"/>
    <mergeCell ref="E69:E70"/>
    <mergeCell ref="F69:F70"/>
    <mergeCell ref="G69:G70"/>
    <mergeCell ref="H69:H70"/>
    <mergeCell ref="E67:E68"/>
    <mergeCell ref="F67:F68"/>
    <mergeCell ref="G67:G68"/>
    <mergeCell ref="B67:B68"/>
    <mergeCell ref="C67:C68"/>
    <mergeCell ref="D67:D68"/>
    <mergeCell ref="H58:H59"/>
    <mergeCell ref="H60:H61"/>
    <mergeCell ref="C62:C63"/>
    <mergeCell ref="D62:D63"/>
    <mergeCell ref="E62:E63"/>
    <mergeCell ref="F62:F63"/>
    <mergeCell ref="G62:G63"/>
    <mergeCell ref="H62:H63"/>
    <mergeCell ref="H71:H72"/>
    <mergeCell ref="B60:B61"/>
    <mergeCell ref="C60:C61"/>
    <mergeCell ref="D60:D61"/>
    <mergeCell ref="E60:E61"/>
    <mergeCell ref="F60:F61"/>
    <mergeCell ref="G60:G61"/>
    <mergeCell ref="B55:B56"/>
    <mergeCell ref="C55:C56"/>
    <mergeCell ref="D55:D56"/>
    <mergeCell ref="E55:E56"/>
    <mergeCell ref="F55:F56"/>
    <mergeCell ref="G55:G56"/>
    <mergeCell ref="C58:C59"/>
    <mergeCell ref="D58:D59"/>
    <mergeCell ref="E58:E59"/>
    <mergeCell ref="F58:F59"/>
    <mergeCell ref="G58:G59"/>
    <mergeCell ref="H51:H52"/>
    <mergeCell ref="B53:B54"/>
    <mergeCell ref="C53:C54"/>
    <mergeCell ref="D53:D54"/>
    <mergeCell ref="E53:E54"/>
    <mergeCell ref="F53:F54"/>
    <mergeCell ref="G53:G54"/>
    <mergeCell ref="H53:H54"/>
    <mergeCell ref="B51:B52"/>
    <mergeCell ref="C51:C52"/>
    <mergeCell ref="D51:D52"/>
    <mergeCell ref="E51:E52"/>
    <mergeCell ref="F51:F52"/>
    <mergeCell ref="G51:G52"/>
    <mergeCell ref="H55:H56"/>
    <mergeCell ref="A27:A40"/>
    <mergeCell ref="H45:H46"/>
    <mergeCell ref="C48:C49"/>
    <mergeCell ref="D48:D49"/>
    <mergeCell ref="E48:E49"/>
    <mergeCell ref="F48:F49"/>
    <mergeCell ref="G48:G49"/>
    <mergeCell ref="H48:H49"/>
    <mergeCell ref="B45:B46"/>
    <mergeCell ref="C45:C46"/>
    <mergeCell ref="D45:D46"/>
    <mergeCell ref="E45:E46"/>
    <mergeCell ref="F45:F46"/>
    <mergeCell ref="G45:G46"/>
    <mergeCell ref="H39:H40"/>
    <mergeCell ref="B42:B43"/>
    <mergeCell ref="C42:C43"/>
    <mergeCell ref="D42:D43"/>
    <mergeCell ref="E42:E43"/>
    <mergeCell ref="F42:F43"/>
    <mergeCell ref="G42:G43"/>
    <mergeCell ref="H42:H43"/>
    <mergeCell ref="B39:B40"/>
    <mergeCell ref="C39:C40"/>
    <mergeCell ref="D39:D40"/>
    <mergeCell ref="E39:E40"/>
    <mergeCell ref="F39:F40"/>
    <mergeCell ref="G39:G40"/>
    <mergeCell ref="F33:F34"/>
    <mergeCell ref="G33:G34"/>
    <mergeCell ref="H33:H34"/>
    <mergeCell ref="B36:B37"/>
    <mergeCell ref="C36:C37"/>
    <mergeCell ref="D36:D37"/>
    <mergeCell ref="E36:E37"/>
    <mergeCell ref="F36:F37"/>
    <mergeCell ref="G36:G37"/>
    <mergeCell ref="H36:H37"/>
    <mergeCell ref="B33:B34"/>
    <mergeCell ref="C33:C34"/>
    <mergeCell ref="D33:D34"/>
    <mergeCell ref="E33:E34"/>
    <mergeCell ref="G27:G28"/>
    <mergeCell ref="H27:H28"/>
    <mergeCell ref="B30:B31"/>
    <mergeCell ref="C30:C31"/>
    <mergeCell ref="D30:D31"/>
    <mergeCell ref="E30:E31"/>
    <mergeCell ref="F30:F31"/>
    <mergeCell ref="G30:G31"/>
    <mergeCell ref="H30:H31"/>
    <mergeCell ref="B27:B28"/>
    <mergeCell ref="C27:C28"/>
    <mergeCell ref="D27:D28"/>
    <mergeCell ref="E27:E28"/>
    <mergeCell ref="F27:F28"/>
    <mergeCell ref="G20:G21"/>
    <mergeCell ref="H20:H21"/>
    <mergeCell ref="B23:B24"/>
    <mergeCell ref="C23:C24"/>
    <mergeCell ref="D23:D24"/>
    <mergeCell ref="E23:E24"/>
    <mergeCell ref="F23:F24"/>
    <mergeCell ref="G23:G24"/>
    <mergeCell ref="H23:H24"/>
    <mergeCell ref="B20:B21"/>
    <mergeCell ref="C20:C21"/>
    <mergeCell ref="D20:D21"/>
    <mergeCell ref="E20:E21"/>
    <mergeCell ref="F20:F21"/>
    <mergeCell ref="H15:H16"/>
    <mergeCell ref="B17:B18"/>
    <mergeCell ref="C17:C18"/>
    <mergeCell ref="D17:D18"/>
    <mergeCell ref="E17:E18"/>
    <mergeCell ref="F17:F18"/>
    <mergeCell ref="G17:G18"/>
    <mergeCell ref="H17:H18"/>
    <mergeCell ref="B15:B16"/>
    <mergeCell ref="C15:C16"/>
    <mergeCell ref="D15:D16"/>
    <mergeCell ref="E15:E16"/>
    <mergeCell ref="F15:F16"/>
    <mergeCell ref="G15:G16"/>
    <mergeCell ref="D3:D4"/>
    <mergeCell ref="E3:E4"/>
    <mergeCell ref="F3:F4"/>
    <mergeCell ref="H9:H10"/>
    <mergeCell ref="B12:B13"/>
    <mergeCell ref="C12:C13"/>
    <mergeCell ref="D12:D13"/>
    <mergeCell ref="E12:E13"/>
    <mergeCell ref="F12:F13"/>
    <mergeCell ref="G12:G13"/>
    <mergeCell ref="H12:H13"/>
    <mergeCell ref="B9:B10"/>
    <mergeCell ref="C9:C10"/>
    <mergeCell ref="D9:D10"/>
    <mergeCell ref="E9:E10"/>
    <mergeCell ref="F9:F10"/>
    <mergeCell ref="G9:G10"/>
    <mergeCell ref="J74:J82"/>
    <mergeCell ref="J85:J93"/>
    <mergeCell ref="J96:J104"/>
    <mergeCell ref="A1:H1"/>
    <mergeCell ref="C65:C66"/>
    <mergeCell ref="D65:D66"/>
    <mergeCell ref="E65:E66"/>
    <mergeCell ref="F65:F66"/>
    <mergeCell ref="G65:G66"/>
    <mergeCell ref="H65:H66"/>
    <mergeCell ref="A6:A26"/>
    <mergeCell ref="A41:A72"/>
    <mergeCell ref="G3:G4"/>
    <mergeCell ref="H3:H4"/>
    <mergeCell ref="B6:B7"/>
    <mergeCell ref="C6:C7"/>
    <mergeCell ref="D6:D7"/>
    <mergeCell ref="E6:E7"/>
    <mergeCell ref="F6:F7"/>
    <mergeCell ref="G6:G7"/>
    <mergeCell ref="H6:H7"/>
    <mergeCell ref="A3:A4"/>
    <mergeCell ref="B3:B4"/>
    <mergeCell ref="C3:C4"/>
  </mergeCells>
  <pageMargins left="0.7" right="0.7" top="0.75" bottom="0.75" header="0.3" footer="0.3"/>
  <drawing r:id="rId1"/>
  <extLst>
    <ext xmlns:x14="http://schemas.microsoft.com/office/spreadsheetml/2009/9/main" uri="{05C60535-1F16-4fd2-B633-F4F36F0B64E0}">
      <x14:sparklineGroups xmlns:xm="http://schemas.microsoft.com/office/excel/2006/main">
        <x14:sparklineGroup displayEmptyCellsAs="gap" xr2:uid="{00000000-0003-0000-0800-000001000000}">
          <x14:colorSeries rgb="FF376092"/>
          <x14:colorNegative rgb="FFD00000"/>
          <x14:colorAxis rgb="FF000000"/>
          <x14:colorMarkers rgb="FFD00000"/>
          <x14:colorFirst rgb="FFD00000"/>
          <x14:colorLast rgb="FFD00000"/>
          <x14:colorHigh rgb="FFD00000"/>
          <x14:colorLow rgb="FFD00000"/>
          <x14:sparklines>
            <x14:sparkline>
              <xm:f>Gráficas!C3:H3</xm:f>
              <xm:sqref>I3</xm:sqref>
            </x14:sparkline>
            <x14:sparkline>
              <xm:f>Gráficas!C4:H4</xm:f>
              <xm:sqref>I4</xm:sqref>
            </x14:sparkline>
          </x14:sparklines>
        </x14:sparklineGroup>
        <x14:sparklineGroup displayEmptyCellsAs="gap" xr2:uid="{00000000-0003-0000-0800-000002000000}">
          <x14:colorSeries rgb="FF376092"/>
          <x14:colorNegative rgb="FFD00000"/>
          <x14:colorAxis rgb="FF000000"/>
          <x14:colorMarkers rgb="FFD00000"/>
          <x14:colorFirst rgb="FFD00000"/>
          <x14:colorLast rgb="FFD00000"/>
          <x14:colorHigh rgb="FFD00000"/>
          <x14:colorLow rgb="FFD00000"/>
          <x14:sparklines>
            <x14:sparkline>
              <xm:f>Gráficas!C6:H6</xm:f>
              <xm:sqref>I6</xm:sqref>
            </x14:sparkline>
          </x14:sparklines>
        </x14:sparklineGroup>
        <x14:sparklineGroup displayEmptyCellsAs="gap" xr2:uid="{00000000-0003-0000-0800-000003000000}">
          <x14:colorSeries rgb="FF376092"/>
          <x14:colorNegative rgb="FFD00000"/>
          <x14:colorAxis rgb="FF000000"/>
          <x14:colorMarkers rgb="FFD00000"/>
          <x14:colorFirst rgb="FFD00000"/>
          <x14:colorLast rgb="FFD00000"/>
          <x14:colorHigh rgb="FFD00000"/>
          <x14:colorLow rgb="FFD00000"/>
          <x14:sparklines>
            <x14:sparkline>
              <xm:f>Gráficas!C9:H9</xm:f>
              <xm:sqref>I9</xm:sqref>
            </x14:sparkline>
          </x14:sparklines>
        </x14:sparklineGroup>
        <x14:sparklineGroup displayEmptyCellsAs="gap" xr2:uid="{00000000-0003-0000-0800-000004000000}">
          <x14:colorSeries rgb="FF376092"/>
          <x14:colorNegative rgb="FFD00000"/>
          <x14:colorAxis rgb="FF000000"/>
          <x14:colorMarkers rgb="FFD00000"/>
          <x14:colorFirst rgb="FFD00000"/>
          <x14:colorLast rgb="FFD00000"/>
          <x14:colorHigh rgb="FFD00000"/>
          <x14:colorLow rgb="FFD00000"/>
          <x14:sparklines>
            <x14:sparkline>
              <xm:f>Gráficas!C12:H12</xm:f>
              <xm:sqref>I12</xm:sqref>
            </x14:sparkline>
          </x14:sparklines>
        </x14:sparklineGroup>
        <x14:sparklineGroup displayEmptyCellsAs="gap" xr2:uid="{00000000-0003-0000-0800-000005000000}">
          <x14:colorSeries rgb="FF376092"/>
          <x14:colorNegative rgb="FFD00000"/>
          <x14:colorAxis rgb="FF000000"/>
          <x14:colorMarkers rgb="FFD00000"/>
          <x14:colorFirst rgb="FFD00000"/>
          <x14:colorLast rgb="FFD00000"/>
          <x14:colorHigh rgb="FFD00000"/>
          <x14:colorLow rgb="FFD00000"/>
          <x14:sparklines>
            <x14:sparkline>
              <xm:f>Gráficas!C15:H15</xm:f>
              <xm:sqref>I15</xm:sqref>
            </x14:sparkline>
          </x14:sparklines>
        </x14:sparklineGroup>
        <x14:sparklineGroup displayEmptyCellsAs="gap" xr2:uid="{00000000-0003-0000-0800-000006000000}">
          <x14:colorSeries rgb="FF376092"/>
          <x14:colorNegative rgb="FFD00000"/>
          <x14:colorAxis rgb="FF000000"/>
          <x14:colorMarkers rgb="FFD00000"/>
          <x14:colorFirst rgb="FFD00000"/>
          <x14:colorLast rgb="FFD00000"/>
          <x14:colorHigh rgb="FFD00000"/>
          <x14:colorLow rgb="FFD00000"/>
          <x14:sparklines>
            <x14:sparkline>
              <xm:f>Gráficas!C17:H17</xm:f>
              <xm:sqref>I17</xm:sqref>
            </x14:sparkline>
          </x14:sparklines>
        </x14:sparklineGroup>
        <x14:sparklineGroup displayEmptyCellsAs="gap" xr2:uid="{00000000-0003-0000-0800-000007000000}">
          <x14:colorSeries rgb="FF376092"/>
          <x14:colorNegative rgb="FFD00000"/>
          <x14:colorAxis rgb="FF000000"/>
          <x14:colorMarkers rgb="FFD00000"/>
          <x14:colorFirst rgb="FFD00000"/>
          <x14:colorLast rgb="FFD00000"/>
          <x14:colorHigh rgb="FFD00000"/>
          <x14:colorLow rgb="FFD00000"/>
          <x14:sparklines>
            <x14:sparkline>
              <xm:f>Gráficas!C20:H20</xm:f>
              <xm:sqref>I20</xm:sqref>
            </x14:sparkline>
          </x14:sparklines>
        </x14:sparklineGroup>
        <x14:sparklineGroup displayEmptyCellsAs="gap" xr2:uid="{00000000-0003-0000-0800-000008000000}">
          <x14:colorSeries rgb="FF376092"/>
          <x14:colorNegative rgb="FFD00000"/>
          <x14:colorAxis rgb="FF000000"/>
          <x14:colorMarkers rgb="FFD00000"/>
          <x14:colorFirst rgb="FFD00000"/>
          <x14:colorLast rgb="FFD00000"/>
          <x14:colorHigh rgb="FFD00000"/>
          <x14:colorLow rgb="FFD00000"/>
          <x14:sparklines>
            <x14:sparkline>
              <xm:f>Gráficas!C23:H23</xm:f>
              <xm:sqref>I23</xm:sqref>
            </x14:sparkline>
          </x14:sparklines>
        </x14:sparklineGroup>
        <x14:sparklineGroup displayEmptyCellsAs="gap" xr2:uid="{00000000-0003-0000-0800-000009000000}">
          <x14:colorSeries rgb="FF376092"/>
          <x14:colorNegative rgb="FFD00000"/>
          <x14:colorAxis rgb="FF000000"/>
          <x14:colorMarkers rgb="FFD00000"/>
          <x14:colorFirst rgb="FFD00000"/>
          <x14:colorLast rgb="FFD00000"/>
          <x14:colorHigh rgb="FFD00000"/>
          <x14:colorLow rgb="FFD00000"/>
          <x14:sparklines>
            <x14:sparkline>
              <xm:f>Gráficas!C27:H27</xm:f>
              <xm:sqref>I27</xm:sqref>
            </x14:sparkline>
          </x14:sparklines>
        </x14:sparklineGroup>
        <x14:sparklineGroup displayEmptyCellsAs="gap" xr2:uid="{00000000-0003-0000-0800-00000A000000}">
          <x14:colorSeries rgb="FF376092"/>
          <x14:colorNegative rgb="FFD00000"/>
          <x14:colorAxis rgb="FF000000"/>
          <x14:colorMarkers rgb="FFD00000"/>
          <x14:colorFirst rgb="FFD00000"/>
          <x14:colorLast rgb="FFD00000"/>
          <x14:colorHigh rgb="FFD00000"/>
          <x14:colorLow rgb="FFD00000"/>
          <x14:sparklines>
            <x14:sparkline>
              <xm:f>Gráficas!C30:H30</xm:f>
              <xm:sqref>I30</xm:sqref>
            </x14:sparkline>
          </x14:sparklines>
        </x14:sparklineGroup>
        <x14:sparklineGroup displayEmptyCellsAs="gap" xr2:uid="{00000000-0003-0000-0800-00000B000000}">
          <x14:colorSeries rgb="FF376092"/>
          <x14:colorNegative rgb="FFD00000"/>
          <x14:colorAxis rgb="FF000000"/>
          <x14:colorMarkers rgb="FFD00000"/>
          <x14:colorFirst rgb="FFD00000"/>
          <x14:colorLast rgb="FFD00000"/>
          <x14:colorHigh rgb="FFD00000"/>
          <x14:colorLow rgb="FFD00000"/>
          <x14:sparklines>
            <x14:sparkline>
              <xm:f>Gráficas!C33:H33</xm:f>
              <xm:sqref>I33</xm:sqref>
            </x14:sparkline>
          </x14:sparklines>
        </x14:sparklineGroup>
        <x14:sparklineGroup displayEmptyCellsAs="gap" xr2:uid="{00000000-0003-0000-0800-00000C000000}">
          <x14:colorSeries rgb="FF376092"/>
          <x14:colorNegative rgb="FFD00000"/>
          <x14:colorAxis rgb="FF000000"/>
          <x14:colorMarkers rgb="FFD00000"/>
          <x14:colorFirst rgb="FFD00000"/>
          <x14:colorLast rgb="FFD00000"/>
          <x14:colorHigh rgb="FFD00000"/>
          <x14:colorLow rgb="FFD00000"/>
          <x14:sparklines>
            <x14:sparkline>
              <xm:f>Gráficas!C36:H36</xm:f>
              <xm:sqref>I36</xm:sqref>
            </x14:sparkline>
          </x14:sparklines>
        </x14:sparklineGroup>
        <x14:sparklineGroup displayEmptyCellsAs="gap" xr2:uid="{00000000-0003-0000-0800-00000D000000}">
          <x14:colorSeries rgb="FF376092"/>
          <x14:colorNegative rgb="FFD00000"/>
          <x14:colorAxis rgb="FF000000"/>
          <x14:colorMarkers rgb="FFD00000"/>
          <x14:colorFirst rgb="FFD00000"/>
          <x14:colorLast rgb="FFD00000"/>
          <x14:colorHigh rgb="FFD00000"/>
          <x14:colorLow rgb="FFD00000"/>
          <x14:sparklines>
            <x14:sparkline>
              <xm:f>Gráficas!C39:H39</xm:f>
              <xm:sqref>I39</xm:sqref>
            </x14:sparkline>
          </x14:sparklines>
        </x14:sparklineGroup>
        <x14:sparklineGroup displayEmptyCellsAs="gap" xr2:uid="{00000000-0003-0000-0800-00000E000000}">
          <x14:colorSeries rgb="FF376092"/>
          <x14:colorNegative rgb="FFD00000"/>
          <x14:colorAxis rgb="FF000000"/>
          <x14:colorMarkers rgb="FFD00000"/>
          <x14:colorFirst rgb="FFD00000"/>
          <x14:colorLast rgb="FFD00000"/>
          <x14:colorHigh rgb="FFD00000"/>
          <x14:colorLow rgb="FFD00000"/>
          <x14:sparklines>
            <x14:sparkline>
              <xm:f>Gráficas!C42:H42</xm:f>
              <xm:sqref>I42</xm:sqref>
            </x14:sparkline>
          </x14:sparklines>
        </x14:sparklineGroup>
        <x14:sparklineGroup displayEmptyCellsAs="gap" xr2:uid="{00000000-0003-0000-0800-00000F000000}">
          <x14:colorSeries rgb="FF376092"/>
          <x14:colorNegative rgb="FFD00000"/>
          <x14:colorAxis rgb="FF000000"/>
          <x14:colorMarkers rgb="FFD00000"/>
          <x14:colorFirst rgb="FFD00000"/>
          <x14:colorLast rgb="FFD00000"/>
          <x14:colorHigh rgb="FFD00000"/>
          <x14:colorLow rgb="FFD00000"/>
          <x14:sparklines>
            <x14:sparkline>
              <xm:f>Gráficas!C45:H45</xm:f>
              <xm:sqref>I45</xm:sqref>
            </x14:sparkline>
          </x14:sparklines>
        </x14:sparklineGroup>
        <x14:sparklineGroup displayEmptyCellsAs="gap" xr2:uid="{00000000-0003-0000-0800-000010000000}">
          <x14:colorSeries rgb="FF376092"/>
          <x14:colorNegative rgb="FFD00000"/>
          <x14:colorAxis rgb="FF000000"/>
          <x14:colorMarkers rgb="FFD00000"/>
          <x14:colorFirst rgb="FFD00000"/>
          <x14:colorLast rgb="FFD00000"/>
          <x14:colorHigh rgb="FFD00000"/>
          <x14:colorLow rgb="FFD00000"/>
          <x14:sparklines>
            <x14:sparkline>
              <xm:f>Gráficas!C48:H48</xm:f>
              <xm:sqref>I48</xm:sqref>
            </x14:sparkline>
          </x14:sparklines>
        </x14:sparklineGroup>
        <x14:sparklineGroup displayEmptyCellsAs="gap" xr2:uid="{00000000-0003-0000-0800-000011000000}">
          <x14:colorSeries rgb="FF376092"/>
          <x14:colorNegative rgb="FFD00000"/>
          <x14:colorAxis rgb="FF000000"/>
          <x14:colorMarkers rgb="FFD00000"/>
          <x14:colorFirst rgb="FFD00000"/>
          <x14:colorLast rgb="FFD00000"/>
          <x14:colorHigh rgb="FFD00000"/>
          <x14:colorLow rgb="FFD00000"/>
          <x14:sparklines>
            <x14:sparkline>
              <xm:f>Gráficas!C51:H51</xm:f>
              <xm:sqref>I51</xm:sqref>
            </x14:sparkline>
          </x14:sparklines>
        </x14:sparklineGroup>
        <x14:sparklineGroup displayEmptyCellsAs="gap" xr2:uid="{00000000-0003-0000-0800-000012000000}">
          <x14:colorSeries rgb="FF376092"/>
          <x14:colorNegative rgb="FFD00000"/>
          <x14:colorAxis rgb="FF000000"/>
          <x14:colorMarkers rgb="FFD00000"/>
          <x14:colorFirst rgb="FFD00000"/>
          <x14:colorLast rgb="FFD00000"/>
          <x14:colorHigh rgb="FFD00000"/>
          <x14:colorLow rgb="FFD00000"/>
          <x14:sparklines>
            <x14:sparkline>
              <xm:f>Gráficas!C53:H53</xm:f>
              <xm:sqref>I53</xm:sqref>
            </x14:sparkline>
          </x14:sparklines>
        </x14:sparklineGroup>
        <x14:sparklineGroup displayEmptyCellsAs="gap" xr2:uid="{00000000-0003-0000-0800-000013000000}">
          <x14:colorSeries rgb="FF376092"/>
          <x14:colorNegative rgb="FFD00000"/>
          <x14:colorAxis rgb="FF000000"/>
          <x14:colorMarkers rgb="FFD00000"/>
          <x14:colorFirst rgb="FFD00000"/>
          <x14:colorLast rgb="FFD00000"/>
          <x14:colorHigh rgb="FFD00000"/>
          <x14:colorLow rgb="FFD00000"/>
          <x14:sparklines>
            <x14:sparkline>
              <xm:f>Gráficas!C55:H55</xm:f>
              <xm:sqref>I55</xm:sqref>
            </x14:sparkline>
          </x14:sparklines>
        </x14:sparklineGroup>
        <x14:sparklineGroup displayEmptyCellsAs="gap" xr2:uid="{00000000-0003-0000-0800-000014000000}">
          <x14:colorSeries rgb="FF376092"/>
          <x14:colorNegative rgb="FFD00000"/>
          <x14:colorAxis rgb="FF000000"/>
          <x14:colorMarkers rgb="FFD00000"/>
          <x14:colorFirst rgb="FFD00000"/>
          <x14:colorLast rgb="FFD00000"/>
          <x14:colorHigh rgb="FFD00000"/>
          <x14:colorLow rgb="FFD00000"/>
          <x14:sparklines>
            <x14:sparkline>
              <xm:f>Gráficas!C58:H58</xm:f>
              <xm:sqref>I58</xm:sqref>
            </x14:sparkline>
          </x14:sparklines>
        </x14:sparklineGroup>
        <x14:sparklineGroup displayEmptyCellsAs="gap" xr2:uid="{00000000-0003-0000-0800-000015000000}">
          <x14:colorSeries rgb="FF376092"/>
          <x14:colorNegative rgb="FFD00000"/>
          <x14:colorAxis rgb="FF000000"/>
          <x14:colorMarkers rgb="FFD00000"/>
          <x14:colorFirst rgb="FFD00000"/>
          <x14:colorLast rgb="FFD00000"/>
          <x14:colorHigh rgb="FFD00000"/>
          <x14:colorLow rgb="FFD00000"/>
          <x14:sparklines>
            <x14:sparkline>
              <xm:f>Gráficas!C60:H60</xm:f>
              <xm:sqref>I60</xm:sqref>
            </x14:sparkline>
          </x14:sparklines>
        </x14:sparklineGroup>
        <x14:sparklineGroup displayEmptyCellsAs="gap" xr2:uid="{00000000-0003-0000-0800-000016000000}">
          <x14:colorSeries rgb="FF376092"/>
          <x14:colorNegative rgb="FFD00000"/>
          <x14:colorAxis rgb="FF000000"/>
          <x14:colorMarkers rgb="FFD00000"/>
          <x14:colorFirst rgb="FFD00000"/>
          <x14:colorLast rgb="FFD00000"/>
          <x14:colorHigh rgb="FFD00000"/>
          <x14:colorLow rgb="FFD00000"/>
          <x14:sparklines>
            <x14:sparkline>
              <xm:f>Gráficas!C62:H62</xm:f>
              <xm:sqref>I62</xm:sqref>
            </x14:sparkline>
          </x14:sparklines>
        </x14:sparklineGroup>
        <x14:sparklineGroup displayEmptyCellsAs="gap" xr2:uid="{00000000-0003-0000-0800-000017000000}">
          <x14:colorSeries rgb="FF376092"/>
          <x14:colorNegative rgb="FFD00000"/>
          <x14:colorAxis rgb="FF000000"/>
          <x14:colorMarkers rgb="FFD00000"/>
          <x14:colorFirst rgb="FFD00000"/>
          <x14:colorLast rgb="FFD00000"/>
          <x14:colorHigh rgb="FFD00000"/>
          <x14:colorLow rgb="FFD00000"/>
          <x14:sparklines>
            <x14:sparkline>
              <xm:f>Gráficas!C65:H65</xm:f>
              <xm:sqref>I65</xm:sqref>
            </x14:sparkline>
          </x14:sparklines>
        </x14:sparklineGroup>
      </x14:sparklineGroup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Menú</vt:lpstr>
      <vt:lpstr>DOFA</vt:lpstr>
      <vt:lpstr>BSC</vt:lpstr>
      <vt:lpstr>Variables</vt:lpstr>
      <vt:lpstr>Estados financieros</vt:lpstr>
      <vt:lpstr>Análisis Vertical</vt:lpstr>
      <vt:lpstr>Análisis Horizontal</vt:lpstr>
      <vt:lpstr>Razones financieras</vt:lpstr>
      <vt:lpstr>Gráficas</vt:lpstr>
      <vt:lpstr>Peer Group </vt:lpstr>
      <vt:lpstr>Anpro</vt:lpstr>
      <vt:lpstr>Gen Kieffer &amp; Asociados</vt:lpstr>
      <vt:lpstr>Universal Insure Holdings</vt:lpstr>
      <vt:lpstr>CAPM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yuli</dc:creator>
  <cp:lastModifiedBy>Erika Gomez</cp:lastModifiedBy>
  <dcterms:created xsi:type="dcterms:W3CDTF">2021-09-25T22:52:47Z</dcterms:created>
  <dcterms:modified xsi:type="dcterms:W3CDTF">2021-11-26T03:35:55Z</dcterms:modified>
</cp:coreProperties>
</file>