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D:\EGOMEZ\Zoho Docs\documentos erika\trabajos universidad\cavca\DOCUMENTOS DE GRADO\ultimos archivos con cambio 6 nov\"/>
    </mc:Choice>
  </mc:AlternateContent>
  <xr:revisionPtr revIDLastSave="0" documentId="13_ncr:1_{4317357B-C53C-491E-9C7A-9874143BC1B2}" xr6:coauthVersionLast="47" xr6:coauthVersionMax="47" xr10:uidLastSave="{00000000-0000-0000-0000-000000000000}"/>
  <bookViews>
    <workbookView showSheetTabs="0" xWindow="-120" yWindow="-120" windowWidth="20730" windowHeight="11160" tabRatio="894" activeTab="10" xr2:uid="{00000000-000D-0000-FFFF-FFFF00000000}"/>
  </bookViews>
  <sheets>
    <sheet name="Menú" sheetId="32" r:id="rId1"/>
    <sheet name="BALANCE" sheetId="3" r:id="rId2"/>
    <sheet name="PYG" sheetId="4" r:id="rId3"/>
    <sheet name="CASH FLOW" sheetId="30" r:id="rId4"/>
    <sheet name="MODELO SIN ESTRATEGIA " sheetId="22" r:id="rId5"/>
    <sheet name="Ciclos" sheetId="23" state="hidden" r:id="rId6"/>
    <sheet name="FCL ESTRATEGIA 1" sheetId="25" r:id="rId7"/>
    <sheet name="MODELO CON ESTRATEGIA 1" sheetId="24" r:id="rId8"/>
    <sheet name="FCL ESTRATEGIA 2" sheetId="28" r:id="rId9"/>
    <sheet name="MODELO CON ESTRATEGIA 2" sheetId="21" r:id="rId10"/>
    <sheet name="RESULTADOS" sheetId="31" r:id="rId11"/>
    <sheet name="Modelos Econometricos" sheetId="20" state="hidden" r:id="rId12"/>
  </sheets>
  <externalReferences>
    <externalReference r:id="rId13"/>
    <externalReference r:id="rId14"/>
    <externalReference r:id="rId1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22" l="1"/>
  <c r="H12" i="22"/>
  <c r="H13" i="22"/>
  <c r="J10" i="22"/>
  <c r="M17" i="21"/>
  <c r="L17" i="21"/>
  <c r="K17" i="21"/>
  <c r="J17" i="21"/>
  <c r="M16" i="21"/>
  <c r="L16" i="21"/>
  <c r="K16" i="21"/>
  <c r="J16" i="21"/>
  <c r="M15" i="21"/>
  <c r="L15" i="21"/>
  <c r="K15" i="21"/>
  <c r="J15" i="21"/>
  <c r="M13" i="21"/>
  <c r="L13" i="21"/>
  <c r="K13" i="21"/>
  <c r="J13" i="21"/>
  <c r="M12" i="21"/>
  <c r="L12" i="21"/>
  <c r="K12" i="21"/>
  <c r="J12" i="21"/>
  <c r="M11" i="21"/>
  <c r="L11" i="21"/>
  <c r="K11" i="21"/>
  <c r="J11" i="21"/>
  <c r="I17" i="21"/>
  <c r="I16" i="21"/>
  <c r="I15" i="21"/>
  <c r="I13" i="21"/>
  <c r="I12" i="21"/>
  <c r="I11" i="21"/>
  <c r="R17" i="22"/>
  <c r="Q17" i="22"/>
  <c r="P17" i="22"/>
  <c r="O17" i="22"/>
  <c r="R16" i="22"/>
  <c r="Q16" i="22"/>
  <c r="P16" i="22"/>
  <c r="O16" i="22"/>
  <c r="R15" i="22"/>
  <c r="Q15" i="22"/>
  <c r="P15" i="22"/>
  <c r="O15" i="22"/>
  <c r="N17" i="22"/>
  <c r="N16" i="22"/>
  <c r="N15" i="22"/>
  <c r="R13" i="22"/>
  <c r="Q13" i="22"/>
  <c r="P13" i="22"/>
  <c r="O13" i="22"/>
  <c r="R12" i="22"/>
  <c r="Q12" i="22"/>
  <c r="P12" i="22"/>
  <c r="O12" i="22"/>
  <c r="R11" i="22"/>
  <c r="Q11" i="22"/>
  <c r="P11" i="22"/>
  <c r="O11" i="22"/>
  <c r="N13" i="22"/>
  <c r="N12" i="22"/>
  <c r="N11" i="22"/>
  <c r="J202" i="28" l="1"/>
  <c r="G20" i="25" l="1"/>
  <c r="F19" i="25"/>
  <c r="B18" i="25"/>
  <c r="J86" i="30"/>
  <c r="I86" i="30"/>
  <c r="H86" i="30"/>
  <c r="G86" i="30"/>
  <c r="F86" i="30"/>
  <c r="E86" i="30"/>
  <c r="D86" i="30"/>
  <c r="C86" i="30"/>
  <c r="B86" i="30"/>
  <c r="J85" i="30"/>
  <c r="I85" i="30"/>
  <c r="H85" i="30"/>
  <c r="G85" i="30"/>
  <c r="F85" i="30"/>
  <c r="E85" i="30"/>
  <c r="D85" i="30"/>
  <c r="C85" i="30"/>
  <c r="B85" i="30"/>
  <c r="J84" i="30"/>
  <c r="I84" i="30"/>
  <c r="H84" i="30"/>
  <c r="G84" i="30"/>
  <c r="F84" i="30"/>
  <c r="E84" i="30"/>
  <c r="D84" i="30"/>
  <c r="C84" i="30"/>
  <c r="B84" i="30"/>
  <c r="J60" i="30"/>
  <c r="I60" i="30"/>
  <c r="H60" i="30"/>
  <c r="G60" i="30"/>
  <c r="F60" i="30"/>
  <c r="E60" i="30"/>
  <c r="D60" i="30"/>
  <c r="C60" i="30"/>
  <c r="B60" i="30"/>
  <c r="E59" i="30"/>
  <c r="D59" i="30"/>
  <c r="C59" i="30"/>
  <c r="B59" i="30"/>
  <c r="J57" i="30"/>
  <c r="I57" i="30"/>
  <c r="H57" i="30"/>
  <c r="G57" i="30"/>
  <c r="F57" i="30"/>
  <c r="E57" i="30"/>
  <c r="D57" i="30"/>
  <c r="C57" i="30"/>
  <c r="B57" i="30"/>
  <c r="E54" i="30"/>
  <c r="D54" i="30"/>
  <c r="C54" i="30"/>
  <c r="B54" i="30"/>
  <c r="J44" i="30"/>
  <c r="I44" i="30"/>
  <c r="H44" i="30"/>
  <c r="G44" i="30"/>
  <c r="F44" i="30"/>
  <c r="E44" i="30"/>
  <c r="D44" i="30"/>
  <c r="C44" i="30"/>
  <c r="B44" i="30"/>
  <c r="J43" i="30"/>
  <c r="I43" i="30"/>
  <c r="H43" i="30"/>
  <c r="G43" i="30"/>
  <c r="F43" i="30"/>
  <c r="E43" i="30"/>
  <c r="D43" i="30"/>
  <c r="C43" i="30"/>
  <c r="B43" i="30"/>
  <c r="J42" i="30"/>
  <c r="I42" i="30"/>
  <c r="H42" i="30"/>
  <c r="G42" i="30"/>
  <c r="F42" i="30"/>
  <c r="E42" i="30"/>
  <c r="D42" i="30"/>
  <c r="C42" i="30"/>
  <c r="B42" i="30"/>
  <c r="J35" i="30"/>
  <c r="I35" i="30"/>
  <c r="H35" i="30"/>
  <c r="G35" i="30"/>
  <c r="F35" i="30"/>
  <c r="E35" i="30"/>
  <c r="D35" i="30"/>
  <c r="C35" i="30"/>
  <c r="B35" i="30"/>
  <c r="J34" i="30"/>
  <c r="I34" i="30"/>
  <c r="H34" i="30"/>
  <c r="G34" i="30"/>
  <c r="F34" i="30"/>
  <c r="E34" i="30"/>
  <c r="D34" i="30"/>
  <c r="C34" i="30"/>
  <c r="B34" i="30"/>
  <c r="J33" i="30"/>
  <c r="J36" i="30" s="1"/>
  <c r="J52" i="30" s="1"/>
  <c r="I33" i="30"/>
  <c r="I36" i="30" s="1"/>
  <c r="I52" i="30" s="1"/>
  <c r="H33" i="30"/>
  <c r="G33" i="30"/>
  <c r="F33" i="30"/>
  <c r="E33" i="30"/>
  <c r="D33" i="30"/>
  <c r="C33" i="30"/>
  <c r="B33" i="30"/>
  <c r="B36" i="30" s="1"/>
  <c r="B52" i="30" s="1"/>
  <c r="D18" i="30"/>
  <c r="D17" i="30"/>
  <c r="C17" i="30"/>
  <c r="E16" i="30"/>
  <c r="E15" i="30"/>
  <c r="D15" i="30"/>
  <c r="C15" i="30"/>
  <c r="B15" i="30"/>
  <c r="C13" i="30"/>
  <c r="D5" i="30" s="1"/>
  <c r="E9" i="30"/>
  <c r="E17" i="30" s="1"/>
  <c r="D9" i="30"/>
  <c r="D68" i="30" s="1"/>
  <c r="D69" i="30" s="1"/>
  <c r="D76" i="30" s="1"/>
  <c r="C9" i="30"/>
  <c r="C16" i="30" s="1"/>
  <c r="B9" i="30"/>
  <c r="D13" i="30" l="1"/>
  <c r="E5" i="30" s="1"/>
  <c r="C45" i="30"/>
  <c r="C53" i="30" s="1"/>
  <c r="C18" i="30"/>
  <c r="C36" i="30"/>
  <c r="C52" i="30" s="1"/>
  <c r="H36" i="30"/>
  <c r="H52" i="30" s="1"/>
  <c r="G36" i="30"/>
  <c r="G52" i="30" s="1"/>
  <c r="D16" i="30"/>
  <c r="C68" i="30"/>
  <c r="C69" i="30" s="1"/>
  <c r="C76" i="30" s="1"/>
  <c r="E36" i="30"/>
  <c r="E52" i="30" s="1"/>
  <c r="D36" i="30"/>
  <c r="D52" i="30" s="1"/>
  <c r="F36" i="30"/>
  <c r="F52" i="30" s="1"/>
  <c r="F15" i="30"/>
  <c r="G9" i="30" s="1"/>
  <c r="B45" i="30"/>
  <c r="B53" i="30" s="1"/>
  <c r="B56" i="30" s="1"/>
  <c r="B58" i="30" s="1"/>
  <c r="B61" i="30" s="1"/>
  <c r="B62" i="30" s="1"/>
  <c r="F45" i="30"/>
  <c r="F53" i="30" s="1"/>
  <c r="J45" i="30"/>
  <c r="J53" i="30" s="1"/>
  <c r="D45" i="30"/>
  <c r="D53" i="30" s="1"/>
  <c r="G45" i="30"/>
  <c r="G53" i="30" s="1"/>
  <c r="B68" i="30"/>
  <c r="B69" i="30" s="1"/>
  <c r="B76" i="30" s="1"/>
  <c r="B17" i="30"/>
  <c r="F17" i="30" s="1"/>
  <c r="B18" i="30"/>
  <c r="E18" i="30"/>
  <c r="E13" i="30"/>
  <c r="F5" i="30" s="1"/>
  <c r="E68" i="30"/>
  <c r="E69" i="30" s="1"/>
  <c r="E76" i="30" s="1"/>
  <c r="B13" i="30"/>
  <c r="C5" i="30" s="1"/>
  <c r="B16" i="30"/>
  <c r="E45" i="30"/>
  <c r="E53" i="30" s="1"/>
  <c r="I45" i="30"/>
  <c r="I53" i="30" s="1"/>
  <c r="H45" i="30"/>
  <c r="H53" i="30" s="1"/>
  <c r="F16" i="30" l="1"/>
  <c r="G7" i="30" s="1"/>
  <c r="H9" i="30"/>
  <c r="C51" i="30"/>
  <c r="C56" i="30" s="1"/>
  <c r="C58" i="30" s="1"/>
  <c r="C61" i="30" s="1"/>
  <c r="C62" i="30" s="1"/>
  <c r="B75" i="30"/>
  <c r="I9" i="30"/>
  <c r="I7" i="30" s="1"/>
  <c r="J9" i="30"/>
  <c r="J68" i="30" s="1"/>
  <c r="J69" i="30" s="1"/>
  <c r="J76" i="30" s="1"/>
  <c r="F9" i="30"/>
  <c r="F7" i="30" s="1"/>
  <c r="J7" i="30"/>
  <c r="G8" i="30"/>
  <c r="G68" i="30"/>
  <c r="G69" i="30" s="1"/>
  <c r="G76" i="30" s="1"/>
  <c r="F18" i="30"/>
  <c r="H12" i="30" s="1"/>
  <c r="H13" i="30" s="1"/>
  <c r="H8" i="30"/>
  <c r="H7" i="30"/>
  <c r="H68" i="30"/>
  <c r="H69" i="30" s="1"/>
  <c r="H76" i="30" s="1"/>
  <c r="C75" i="30"/>
  <c r="C77" i="30" s="1"/>
  <c r="C83" i="30" s="1"/>
  <c r="C87" i="30" s="1"/>
  <c r="I8" i="30"/>
  <c r="B77" i="30"/>
  <c r="B83" i="30" s="1"/>
  <c r="B87" i="30" s="1"/>
  <c r="D51" i="30" l="1"/>
  <c r="D56" i="30" s="1"/>
  <c r="D58" i="30" s="1"/>
  <c r="D61" i="30" s="1"/>
  <c r="D75" i="30" s="1"/>
  <c r="D77" i="30" s="1"/>
  <c r="D83" i="30" s="1"/>
  <c r="D87" i="30" s="1"/>
  <c r="F8" i="30"/>
  <c r="F68" i="30"/>
  <c r="F69" i="30" s="1"/>
  <c r="F76" i="30" s="1"/>
  <c r="I12" i="30"/>
  <c r="I13" i="30" s="1"/>
  <c r="J12" i="30"/>
  <c r="J59" i="30" s="1"/>
  <c r="J8" i="30"/>
  <c r="I68" i="30"/>
  <c r="I69" i="30" s="1"/>
  <c r="I76" i="30" s="1"/>
  <c r="J54" i="30"/>
  <c r="J13" i="30"/>
  <c r="H59" i="30"/>
  <c r="H54" i="30"/>
  <c r="G12" i="30"/>
  <c r="F12" i="30"/>
  <c r="D62" i="30" l="1"/>
  <c r="E51" i="30"/>
  <c r="E56" i="30" s="1"/>
  <c r="E58" i="30" s="1"/>
  <c r="E61" i="30" s="1"/>
  <c r="I54" i="30"/>
  <c r="I59" i="30"/>
  <c r="F59" i="30"/>
  <c r="F54" i="30"/>
  <c r="F13" i="30"/>
  <c r="G59" i="30"/>
  <c r="G54" i="30"/>
  <c r="G13" i="30"/>
  <c r="E62" i="30"/>
  <c r="F51" i="30"/>
  <c r="E75" i="30"/>
  <c r="E77" i="30" s="1"/>
  <c r="E83" i="30" s="1"/>
  <c r="E87" i="30" s="1"/>
  <c r="F56" i="30" l="1"/>
  <c r="F58" i="30" s="1"/>
  <c r="F61" i="30" s="1"/>
  <c r="F62" i="30" l="1"/>
  <c r="G51" i="30"/>
  <c r="G56" i="30" s="1"/>
  <c r="G58" i="30" s="1"/>
  <c r="G61" i="30" s="1"/>
  <c r="F75" i="30"/>
  <c r="F77" i="30" s="1"/>
  <c r="F83" i="30" s="1"/>
  <c r="F87" i="30" s="1"/>
  <c r="G62" i="30" l="1"/>
  <c r="G75" i="30"/>
  <c r="G77" i="30" s="1"/>
  <c r="G83" i="30" s="1"/>
  <c r="G87" i="30" s="1"/>
  <c r="H51" i="30"/>
  <c r="H56" i="30" s="1"/>
  <c r="H58" i="30" s="1"/>
  <c r="H61" i="30" s="1"/>
  <c r="H75" i="30" l="1"/>
  <c r="H77" i="30" s="1"/>
  <c r="H83" i="30" s="1"/>
  <c r="H87" i="30" s="1"/>
  <c r="I51" i="30"/>
  <c r="I56" i="30" s="1"/>
  <c r="I58" i="30" s="1"/>
  <c r="I61" i="30" s="1"/>
  <c r="H62" i="30"/>
  <c r="I75" i="30" l="1"/>
  <c r="I77" i="30" s="1"/>
  <c r="I83" i="30" s="1"/>
  <c r="I87" i="30" s="1"/>
  <c r="I62" i="30"/>
  <c r="J51" i="30"/>
  <c r="J56" i="30" s="1"/>
  <c r="J58" i="30" s="1"/>
  <c r="J61" i="30" s="1"/>
  <c r="J62" i="30" l="1"/>
  <c r="J75" i="30"/>
  <c r="J77" i="30" s="1"/>
  <c r="J83" i="30" s="1"/>
  <c r="J87" i="30" s="1"/>
  <c r="B94" i="28" l="1"/>
  <c r="B16" i="28"/>
  <c r="B95" i="28" s="1"/>
  <c r="B42" i="28"/>
  <c r="B41" i="28"/>
  <c r="B40" i="28"/>
  <c r="E40" i="28" s="1"/>
  <c r="B39" i="28"/>
  <c r="B24" i="28"/>
  <c r="E24" i="28" s="1"/>
  <c r="L164" i="28"/>
  <c r="J164" i="28"/>
  <c r="J154" i="28"/>
  <c r="J153" i="28"/>
  <c r="J155" i="28" s="1"/>
  <c r="O152" i="28"/>
  <c r="N152" i="28"/>
  <c r="M152" i="28"/>
  <c r="L152" i="28"/>
  <c r="K152" i="28"/>
  <c r="J142" i="28"/>
  <c r="J134" i="28"/>
  <c r="J152" i="28" s="1"/>
  <c r="O133" i="28"/>
  <c r="O136" i="28" s="1"/>
  <c r="O143" i="28" s="1"/>
  <c r="B111" i="28"/>
  <c r="J180" i="28" s="1"/>
  <c r="J102" i="28"/>
  <c r="A96" i="28"/>
  <c r="A95" i="28"/>
  <c r="A94" i="28"/>
  <c r="B86" i="28"/>
  <c r="B87" i="28" s="1"/>
  <c r="K83" i="28" s="1"/>
  <c r="A85" i="28"/>
  <c r="A84" i="28"/>
  <c r="A83" i="28"/>
  <c r="J65" i="28"/>
  <c r="B61" i="28"/>
  <c r="N61" i="28" s="1"/>
  <c r="J58" i="28"/>
  <c r="K59" i="28" s="1"/>
  <c r="B53" i="28"/>
  <c r="O52" i="28" s="1"/>
  <c r="J50" i="28"/>
  <c r="K51" i="28" s="1"/>
  <c r="E43" i="28"/>
  <c r="E19" i="28"/>
  <c r="D19" i="28"/>
  <c r="B63" i="21"/>
  <c r="B14" i="28" l="1"/>
  <c r="E84" i="28"/>
  <c r="S39" i="28"/>
  <c r="N39" i="28"/>
  <c r="L39" i="28"/>
  <c r="B44" i="28"/>
  <c r="E41" i="28"/>
  <c r="T40" i="28" s="1"/>
  <c r="J132" i="28"/>
  <c r="E42" i="28"/>
  <c r="S41" i="28" s="1"/>
  <c r="M40" i="28"/>
  <c r="E39" i="28"/>
  <c r="P38" i="28" s="1"/>
  <c r="L83" i="28"/>
  <c r="B97" i="28"/>
  <c r="N52" i="28"/>
  <c r="R39" i="28"/>
  <c r="L52" i="28"/>
  <c r="P39" i="28"/>
  <c r="P40" i="28"/>
  <c r="S40" i="28"/>
  <c r="K52" i="28"/>
  <c r="K53" i="28" s="1"/>
  <c r="K50" i="28" s="1"/>
  <c r="M52" i="28"/>
  <c r="M61" i="28"/>
  <c r="K61" i="28"/>
  <c r="K58" i="28" s="1"/>
  <c r="L59" i="28" s="1"/>
  <c r="O61" i="28"/>
  <c r="R40" i="28"/>
  <c r="K65" i="28"/>
  <c r="T39" i="28"/>
  <c r="K39" i="28"/>
  <c r="M39" i="28"/>
  <c r="O39" i="28"/>
  <c r="Q39" i="28"/>
  <c r="L61" i="28"/>
  <c r="E83" i="28"/>
  <c r="E85" i="28"/>
  <c r="L163" i="28"/>
  <c r="B75" i="21"/>
  <c r="C75" i="21" s="1"/>
  <c r="D75" i="21" s="1"/>
  <c r="E75" i="21" s="1"/>
  <c r="F75" i="21" s="1"/>
  <c r="G75" i="21" s="1"/>
  <c r="E14" i="28" l="1"/>
  <c r="E30" i="28" s="1"/>
  <c r="D14" i="28"/>
  <c r="L38" i="28"/>
  <c r="R41" i="28"/>
  <c r="N38" i="28"/>
  <c r="O38" i="28"/>
  <c r="K40" i="28"/>
  <c r="N40" i="28"/>
  <c r="L40" i="28"/>
  <c r="O40" i="28"/>
  <c r="Q40" i="28"/>
  <c r="T41" i="28"/>
  <c r="M41" i="28"/>
  <c r="P41" i="28"/>
  <c r="P42" i="28" s="1"/>
  <c r="N41" i="28"/>
  <c r="Q41" i="28"/>
  <c r="O41" i="28"/>
  <c r="L41" i="28"/>
  <c r="K41" i="28"/>
  <c r="T38" i="28"/>
  <c r="T42" i="28" s="1"/>
  <c r="S38" i="28"/>
  <c r="S42" i="28" s="1"/>
  <c r="K38" i="28"/>
  <c r="Q38" i="28"/>
  <c r="R38" i="28"/>
  <c r="R42" i="28" s="1"/>
  <c r="M38" i="28"/>
  <c r="B98" i="28"/>
  <c r="K92" i="28" s="1"/>
  <c r="L58" i="28"/>
  <c r="M58" i="28" s="1"/>
  <c r="K114" i="28"/>
  <c r="K153" i="28" s="1"/>
  <c r="K155" i="28" s="1"/>
  <c r="K66" i="28"/>
  <c r="K123" i="28"/>
  <c r="K154" i="28" s="1"/>
  <c r="K60" i="28"/>
  <c r="M59" i="28"/>
  <c r="M60" i="28" s="1"/>
  <c r="L60" i="28"/>
  <c r="L51" i="28"/>
  <c r="M83" i="28"/>
  <c r="L42" i="28" l="1"/>
  <c r="L113" i="28" s="1"/>
  <c r="L121" i="28" s="1"/>
  <c r="M42" i="28"/>
  <c r="M113" i="28" s="1"/>
  <c r="M121" i="28" s="1"/>
  <c r="O42" i="28"/>
  <c r="O113" i="28" s="1"/>
  <c r="O121" i="28" s="1"/>
  <c r="N42" i="28"/>
  <c r="N113" i="28" s="1"/>
  <c r="N121" i="28" s="1"/>
  <c r="Q42" i="28"/>
  <c r="K42" i="28"/>
  <c r="K113" i="28" s="1"/>
  <c r="K121" i="28" s="1"/>
  <c r="K95" i="28"/>
  <c r="L92" i="28"/>
  <c r="N83" i="28"/>
  <c r="L65" i="28"/>
  <c r="L114" i="28" s="1"/>
  <c r="L153" i="28" s="1"/>
  <c r="L155" i="28" s="1"/>
  <c r="L53" i="28"/>
  <c r="N58" i="28"/>
  <c r="N59" i="28"/>
  <c r="N60" i="28" s="1"/>
  <c r="M92" i="28" l="1"/>
  <c r="L95" i="28"/>
  <c r="K112" i="28"/>
  <c r="K102" i="28"/>
  <c r="K103" i="28" s="1"/>
  <c r="L66" i="28"/>
  <c r="L123" i="28" s="1"/>
  <c r="L50" i="28"/>
  <c r="O59" i="28"/>
  <c r="O60" i="28" s="1"/>
  <c r="O58" i="28"/>
  <c r="O83" i="28"/>
  <c r="B30" i="21" l="1"/>
  <c r="J104" i="28"/>
  <c r="L102" i="28"/>
  <c r="L103" i="28" s="1"/>
  <c r="K104" i="28" s="1"/>
  <c r="K133" i="28" s="1"/>
  <c r="K136" i="28" s="1"/>
  <c r="K143" i="28" s="1"/>
  <c r="L112" i="28"/>
  <c r="N92" i="28"/>
  <c r="M95" i="28"/>
  <c r="L154" i="28"/>
  <c r="C30" i="21"/>
  <c r="M51" i="28"/>
  <c r="M102" i="28" l="1"/>
  <c r="M103" i="28" s="1"/>
  <c r="L104" i="28" s="1"/>
  <c r="L133" i="28" s="1"/>
  <c r="L136" i="28" s="1"/>
  <c r="L143" i="28" s="1"/>
  <c r="M112" i="28"/>
  <c r="O92" i="28"/>
  <c r="O95" i="28" s="1"/>
  <c r="O102" i="28" s="1"/>
  <c r="O103" i="28" s="1"/>
  <c r="N95" i="28"/>
  <c r="B72" i="21"/>
  <c r="C33" i="21"/>
  <c r="D33" i="21"/>
  <c r="F33" i="21"/>
  <c r="E33" i="21"/>
  <c r="B33" i="21"/>
  <c r="B38" i="21" s="1"/>
  <c r="B71" i="21" s="1"/>
  <c r="C34" i="21"/>
  <c r="E34" i="21"/>
  <c r="D34" i="21"/>
  <c r="C72" i="21"/>
  <c r="F34" i="21"/>
  <c r="O112" i="28"/>
  <c r="M65" i="28"/>
  <c r="M114" i="28" s="1"/>
  <c r="M53" i="28"/>
  <c r="C38" i="21" l="1"/>
  <c r="C71" i="21" s="1"/>
  <c r="N102" i="28"/>
  <c r="N103" i="28" s="1"/>
  <c r="M104" i="28" s="1"/>
  <c r="M133" i="28" s="1"/>
  <c r="M136" i="28" s="1"/>
  <c r="M143" i="28" s="1"/>
  <c r="N112" i="28"/>
  <c r="M153" i="28"/>
  <c r="M155" i="28" s="1"/>
  <c r="M66" i="28"/>
  <c r="M123" i="28" s="1"/>
  <c r="M50" i="28"/>
  <c r="N104" i="28" l="1"/>
  <c r="N133" i="28" s="1"/>
  <c r="N136" i="28" s="1"/>
  <c r="N143" i="28" s="1"/>
  <c r="J133" i="28"/>
  <c r="J135" i="28" s="1"/>
  <c r="B2" i="28" s="1"/>
  <c r="M154" i="28"/>
  <c r="D30" i="21"/>
  <c r="N51" i="28"/>
  <c r="J136" i="28" l="1"/>
  <c r="J163" i="28" s="1"/>
  <c r="J172" i="28"/>
  <c r="J191" i="28"/>
  <c r="D35" i="21"/>
  <c r="D38" i="21" s="1"/>
  <c r="D71" i="21" s="1"/>
  <c r="E35" i="21"/>
  <c r="F35" i="21"/>
  <c r="D72" i="21"/>
  <c r="N65" i="28"/>
  <c r="N114" i="28" s="1"/>
  <c r="N53" i="28"/>
  <c r="J143" i="28" l="1"/>
  <c r="J144" i="28" s="1"/>
  <c r="J178" i="28" s="1"/>
  <c r="N66" i="28"/>
  <c r="N123" i="28" s="1"/>
  <c r="N50" i="28"/>
  <c r="J165" i="28"/>
  <c r="K164" i="28" s="1"/>
  <c r="M164" i="28" s="1"/>
  <c r="N153" i="28"/>
  <c r="N155" i="28" s="1"/>
  <c r="J151" i="28" l="1"/>
  <c r="J156" i="28" s="1"/>
  <c r="J196" i="28" s="1"/>
  <c r="N154" i="28"/>
  <c r="E30" i="21"/>
  <c r="O51" i="28"/>
  <c r="K163" i="28"/>
  <c r="F36" i="21" l="1"/>
  <c r="E72" i="21"/>
  <c r="E36" i="21"/>
  <c r="E38" i="21" s="1"/>
  <c r="E71" i="21" s="1"/>
  <c r="K165" i="28"/>
  <c r="M163" i="28"/>
  <c r="M165" i="28" s="1"/>
  <c r="J198" i="28" s="1"/>
  <c r="O65" i="28"/>
  <c r="O114" i="28" s="1"/>
  <c r="O53" i="28"/>
  <c r="O66" i="28" l="1"/>
  <c r="O123" i="28" s="1"/>
  <c r="O50" i="28"/>
  <c r="J173" i="28" s="1"/>
  <c r="O153" i="28"/>
  <c r="O155" i="28" s="1"/>
  <c r="J129" i="25"/>
  <c r="J147" i="25" s="1"/>
  <c r="J159" i="25"/>
  <c r="J137" i="25"/>
  <c r="J97" i="25"/>
  <c r="B88" i="25"/>
  <c r="B91" i="25" s="1"/>
  <c r="A79" i="25"/>
  <c r="A78" i="25"/>
  <c r="A77" i="25"/>
  <c r="B20" i="25"/>
  <c r="B80" i="25"/>
  <c r="B81" i="25" s="1"/>
  <c r="K76" i="25" s="1"/>
  <c r="D90" i="25"/>
  <c r="L76" i="25" l="1"/>
  <c r="O154" i="28"/>
  <c r="F30" i="21"/>
  <c r="B92" i="25"/>
  <c r="K85" i="25" s="1"/>
  <c r="E77" i="25"/>
  <c r="E78" i="25"/>
  <c r="E79" i="25"/>
  <c r="M76" i="25" l="1"/>
  <c r="F37" i="21"/>
  <c r="F38" i="21" s="1"/>
  <c r="F71" i="21" s="1"/>
  <c r="F72" i="21"/>
  <c r="L85" i="25"/>
  <c r="K88" i="25"/>
  <c r="N76" i="25" l="1"/>
  <c r="K107" i="25"/>
  <c r="K97" i="25"/>
  <c r="K98" i="25" s="1"/>
  <c r="O76" i="25" l="1"/>
  <c r="J99" i="25"/>
  <c r="B55" i="25" l="1"/>
  <c r="O55" i="25" s="1"/>
  <c r="D18" i="25"/>
  <c r="E18" i="25" s="1"/>
  <c r="D20" i="25"/>
  <c r="E20" i="25" s="1"/>
  <c r="J175" i="25"/>
  <c r="L159" i="25"/>
  <c r="L158" i="25"/>
  <c r="J149" i="25"/>
  <c r="J148" i="25"/>
  <c r="J150" i="25" s="1"/>
  <c r="O147" i="25"/>
  <c r="N147" i="25"/>
  <c r="M147" i="25"/>
  <c r="L147" i="25"/>
  <c r="K147" i="25"/>
  <c r="O128" i="25"/>
  <c r="J59" i="25"/>
  <c r="J52" i="25"/>
  <c r="B47" i="25"/>
  <c r="O46" i="25" s="1"/>
  <c r="J44" i="25"/>
  <c r="E16" i="25"/>
  <c r="B34" i="25" s="1"/>
  <c r="E14" i="25"/>
  <c r="B33" i="25" s="1"/>
  <c r="B35" i="25" l="1"/>
  <c r="J127" i="25" s="1"/>
  <c r="E24" i="25"/>
  <c r="O131" i="25"/>
  <c r="O138" i="25" s="1"/>
  <c r="E34" i="25"/>
  <c r="T33" i="25" s="1"/>
  <c r="M85" i="25"/>
  <c r="N33" i="25"/>
  <c r="E33" i="25"/>
  <c r="T32" i="25" s="1"/>
  <c r="B38" i="25"/>
  <c r="K53" i="25"/>
  <c r="L55" i="25"/>
  <c r="N55" i="25"/>
  <c r="K45" i="25"/>
  <c r="K59" i="25" s="1"/>
  <c r="K109" i="25" s="1"/>
  <c r="K148" i="25" s="1"/>
  <c r="K150" i="25" s="1"/>
  <c r="L46" i="25"/>
  <c r="N46" i="25"/>
  <c r="K46" i="25"/>
  <c r="K47" i="25" s="1"/>
  <c r="M46" i="25"/>
  <c r="K55" i="25"/>
  <c r="K52" i="25" s="1"/>
  <c r="M55" i="25"/>
  <c r="E35" i="25" l="1"/>
  <c r="T34" i="25" s="1"/>
  <c r="T36" i="25" s="1"/>
  <c r="N85" i="25"/>
  <c r="L33" i="25"/>
  <c r="R33" i="25"/>
  <c r="S33" i="25"/>
  <c r="L32" i="25"/>
  <c r="P33" i="25"/>
  <c r="K33" i="25"/>
  <c r="P32" i="25"/>
  <c r="O33" i="25"/>
  <c r="M33" i="25"/>
  <c r="Q33" i="25"/>
  <c r="K34" i="25"/>
  <c r="M32" i="25"/>
  <c r="O32" i="25"/>
  <c r="R32" i="25"/>
  <c r="N32" i="25"/>
  <c r="Q32" i="25"/>
  <c r="S32" i="25"/>
  <c r="K32" i="25"/>
  <c r="L53" i="25"/>
  <c r="L54" i="25" s="1"/>
  <c r="L52" i="25"/>
  <c r="K60" i="25"/>
  <c r="K118" i="25" s="1"/>
  <c r="K149" i="25" s="1"/>
  <c r="L88" i="25"/>
  <c r="L107" i="25" s="1"/>
  <c r="K54" i="25"/>
  <c r="K44" i="25"/>
  <c r="L34" i="25" l="1"/>
  <c r="L36" i="25" s="1"/>
  <c r="L108" i="25" s="1"/>
  <c r="L116" i="25" s="1"/>
  <c r="N34" i="25"/>
  <c r="N36" i="25" s="1"/>
  <c r="N108" i="25" s="1"/>
  <c r="N116" i="25" s="1"/>
  <c r="Q34" i="25"/>
  <c r="Q36" i="25" s="1"/>
  <c r="P34" i="25"/>
  <c r="P36" i="25" s="1"/>
  <c r="R34" i="25"/>
  <c r="R36" i="25" s="1"/>
  <c r="M34" i="25"/>
  <c r="O34" i="25"/>
  <c r="S34" i="25"/>
  <c r="S36" i="25" s="1"/>
  <c r="O85" i="25"/>
  <c r="K36" i="25"/>
  <c r="K108" i="25" s="1"/>
  <c r="K116" i="25" s="1"/>
  <c r="B30" i="24" s="1"/>
  <c r="O36" i="25"/>
  <c r="O108" i="25" s="1"/>
  <c r="O116" i="25" s="1"/>
  <c r="M36" i="25"/>
  <c r="M108" i="25" s="1"/>
  <c r="M116" i="25" s="1"/>
  <c r="L45" i="25"/>
  <c r="M88" i="25"/>
  <c r="M107" i="25" s="1"/>
  <c r="M52" i="25"/>
  <c r="M53" i="25"/>
  <c r="M54" i="25" s="1"/>
  <c r="L97" i="25"/>
  <c r="L98" i="25" s="1"/>
  <c r="K99" i="25" l="1"/>
  <c r="K128" i="25" s="1"/>
  <c r="K131" i="25" s="1"/>
  <c r="K138" i="25" s="1"/>
  <c r="M97" i="25"/>
  <c r="M98" i="25" s="1"/>
  <c r="N53" i="25"/>
  <c r="N54" i="25" s="1"/>
  <c r="N52" i="25"/>
  <c r="N88" i="25"/>
  <c r="N107" i="25" s="1"/>
  <c r="L59" i="25"/>
  <c r="L47" i="25"/>
  <c r="L99" i="25" l="1"/>
  <c r="L128" i="25" s="1"/>
  <c r="L131" i="25" s="1"/>
  <c r="L138" i="25" s="1"/>
  <c r="L109" i="25"/>
  <c r="L60" i="25"/>
  <c r="L44" i="25"/>
  <c r="O52" i="25"/>
  <c r="O53" i="25"/>
  <c r="O54" i="25" s="1"/>
  <c r="N97" i="25"/>
  <c r="N98" i="25" s="1"/>
  <c r="O88" i="25"/>
  <c r="O107" i="25" s="1"/>
  <c r="L148" i="25" l="1"/>
  <c r="L150" i="25" s="1"/>
  <c r="L118" i="25"/>
  <c r="M99" i="25"/>
  <c r="M128" i="25" s="1"/>
  <c r="M45" i="25"/>
  <c r="O97" i="25"/>
  <c r="O98" i="25" s="1"/>
  <c r="L149" i="25" l="1"/>
  <c r="C30" i="24"/>
  <c r="J128" i="25"/>
  <c r="J130" i="25" s="1"/>
  <c r="B2" i="25" s="1"/>
  <c r="N99" i="25"/>
  <c r="N128" i="25" s="1"/>
  <c r="M131" i="25"/>
  <c r="M138" i="25" s="1"/>
  <c r="M59" i="25"/>
  <c r="M109" i="25" s="1"/>
  <c r="M47" i="25"/>
  <c r="J131" i="25" l="1"/>
  <c r="J158" i="25" s="1"/>
  <c r="N131" i="25"/>
  <c r="N138" i="25" s="1"/>
  <c r="J186" i="25"/>
  <c r="M148" i="25"/>
  <c r="M150" i="25" s="1"/>
  <c r="J167" i="25"/>
  <c r="M60" i="25"/>
  <c r="M44" i="25"/>
  <c r="J138" i="25" l="1"/>
  <c r="J139" i="25" s="1"/>
  <c r="J173" i="25" s="1"/>
  <c r="M118" i="25"/>
  <c r="N45" i="25"/>
  <c r="J146" i="25" l="1"/>
  <c r="J151" i="25" s="1"/>
  <c r="J191" i="25" s="1"/>
  <c r="M149" i="25"/>
  <c r="D30" i="24"/>
  <c r="J160" i="25"/>
  <c r="N59" i="25"/>
  <c r="N109" i="25" s="1"/>
  <c r="N47" i="25"/>
  <c r="K159" i="25" l="1"/>
  <c r="M159" i="25" s="1"/>
  <c r="K158" i="25"/>
  <c r="N148" i="25"/>
  <c r="N60" i="25"/>
  <c r="N44" i="25"/>
  <c r="N150" i="25"/>
  <c r="N118" i="25" l="1"/>
  <c r="K160" i="25"/>
  <c r="M158" i="25"/>
  <c r="M160" i="25" s="1"/>
  <c r="J193" i="25" s="1"/>
  <c r="O45" i="25"/>
  <c r="N149" i="25" l="1"/>
  <c r="E30" i="24"/>
  <c r="O59" i="25"/>
  <c r="O109" i="25" s="1"/>
  <c r="O47" i="25"/>
  <c r="O148" i="25" l="1"/>
  <c r="O150" i="25" s="1"/>
  <c r="O60" i="25"/>
  <c r="O44" i="25"/>
  <c r="J168" i="25" s="1"/>
  <c r="O118" i="25" l="1"/>
  <c r="O149" i="25" l="1"/>
  <c r="F30" i="24"/>
  <c r="B63" i="24" l="1"/>
  <c r="B75" i="24" s="1"/>
  <c r="C75" i="24" s="1"/>
  <c r="D75" i="24" s="1"/>
  <c r="E75" i="24" s="1"/>
  <c r="F75" i="24" s="1"/>
  <c r="G75" i="24" s="1"/>
  <c r="F72" i="24"/>
  <c r="E72" i="24"/>
  <c r="D72" i="24"/>
  <c r="C72" i="24"/>
  <c r="B72" i="24"/>
  <c r="F37" i="24"/>
  <c r="F36" i="24"/>
  <c r="E36" i="24"/>
  <c r="F35" i="24"/>
  <c r="E35" i="24"/>
  <c r="D35" i="24"/>
  <c r="F34" i="24"/>
  <c r="E34" i="24"/>
  <c r="D34" i="24"/>
  <c r="C34" i="24"/>
  <c r="F33" i="24"/>
  <c r="E33" i="24"/>
  <c r="D33" i="24"/>
  <c r="C33" i="24"/>
  <c r="B33" i="24"/>
  <c r="B38" i="24" s="1"/>
  <c r="B71" i="24" s="1"/>
  <c r="C38" i="24" l="1"/>
  <c r="C71" i="24" s="1"/>
  <c r="D38" i="24"/>
  <c r="D71" i="24" s="1"/>
  <c r="F38" i="24"/>
  <c r="F71" i="24" s="1"/>
  <c r="E38" i="24"/>
  <c r="E71" i="24" s="1"/>
  <c r="B72" i="22" l="1"/>
  <c r="B63" i="22"/>
  <c r="B75" i="22" l="1"/>
  <c r="C75" i="22" s="1"/>
  <c r="D75" i="22" s="1"/>
  <c r="E75" i="22" s="1"/>
  <c r="F75" i="22" s="1"/>
  <c r="G75" i="22" s="1"/>
  <c r="E10" i="23"/>
  <c r="E14" i="23" s="1"/>
  <c r="F10" i="23"/>
  <c r="F14" i="23" s="1"/>
  <c r="D10" i="23"/>
  <c r="D14" i="23" s="1"/>
  <c r="C10" i="23"/>
  <c r="F9" i="23"/>
  <c r="F11" i="23" s="1"/>
  <c r="E9" i="23"/>
  <c r="E11" i="23" s="1"/>
  <c r="E17" i="23" s="1"/>
  <c r="D9" i="23"/>
  <c r="D11" i="23" s="1"/>
  <c r="D17" i="23" s="1"/>
  <c r="C9" i="23"/>
  <c r="C11" i="23" s="1"/>
  <c r="B47" i="21" l="1"/>
  <c r="B47" i="24"/>
  <c r="B45" i="21"/>
  <c r="B45" i="24"/>
  <c r="E18" i="23"/>
  <c r="B47" i="22"/>
  <c r="F18" i="23"/>
  <c r="B45" i="22"/>
  <c r="F17" i="23"/>
  <c r="D15" i="23"/>
  <c r="D18" i="23"/>
  <c r="D19" i="23" s="1"/>
  <c r="C14" i="23"/>
  <c r="E15" i="23"/>
  <c r="F12" i="23"/>
  <c r="F13" i="23"/>
  <c r="F16" i="23" s="1"/>
  <c r="B44" i="22" s="1"/>
  <c r="F15" i="23"/>
  <c r="C17" i="23"/>
  <c r="C13" i="23"/>
  <c r="C12" i="23"/>
  <c r="D12" i="23"/>
  <c r="E12" i="23"/>
  <c r="D13" i="23"/>
  <c r="D16" i="23" s="1"/>
  <c r="E13" i="23"/>
  <c r="E16" i="23" s="1"/>
  <c r="C15" i="23" l="1"/>
  <c r="C16" i="23"/>
  <c r="C18" i="23"/>
  <c r="C19" i="23" s="1"/>
  <c r="E19" i="23"/>
  <c r="F19" i="23"/>
  <c r="F72" i="22" l="1"/>
  <c r="E72" i="22"/>
  <c r="D72" i="22"/>
  <c r="C72" i="22"/>
  <c r="F37" i="22"/>
  <c r="F36" i="22"/>
  <c r="E36" i="22"/>
  <c r="F35" i="22"/>
  <c r="E35" i="22"/>
  <c r="D35" i="22"/>
  <c r="F34" i="22"/>
  <c r="E34" i="22"/>
  <c r="D34" i="22"/>
  <c r="C34" i="22"/>
  <c r="F33" i="22"/>
  <c r="E33" i="22"/>
  <c r="D33" i="22"/>
  <c r="C33" i="22"/>
  <c r="B33" i="22"/>
  <c r="B38" i="22" s="1"/>
  <c r="B71" i="22" s="1"/>
  <c r="D38" i="22" l="1"/>
  <c r="D71" i="22" s="1"/>
  <c r="C38" i="22"/>
  <c r="C71" i="22" s="1"/>
  <c r="E38" i="22"/>
  <c r="E71" i="22" s="1"/>
  <c r="F38" i="22"/>
  <c r="F71" i="22" s="1"/>
  <c r="FA13" i="20"/>
  <c r="FA21" i="20" s="1"/>
  <c r="FA12" i="20"/>
  <c r="FA20" i="20" s="1"/>
  <c r="FA11" i="20"/>
  <c r="FA19" i="20" s="1"/>
  <c r="FA10" i="20"/>
  <c r="FA18" i="20" s="1"/>
  <c r="EZ23" i="20"/>
  <c r="EZ22" i="20"/>
  <c r="FC21" i="20"/>
  <c r="FC20" i="20"/>
  <c r="FC19" i="20"/>
  <c r="FC18" i="20"/>
  <c r="ET13" i="20"/>
  <c r="ET21" i="20" s="1"/>
  <c r="ET12" i="20"/>
  <c r="ET11" i="20"/>
  <c r="ET19" i="20" s="1"/>
  <c r="ET10" i="20"/>
  <c r="ES23" i="20"/>
  <c r="ES22" i="20"/>
  <c r="EV21" i="20"/>
  <c r="EV20" i="20"/>
  <c r="EV19" i="20"/>
  <c r="EV18" i="20"/>
  <c r="ET20" i="20"/>
  <c r="ET18" i="20"/>
  <c r="EM13" i="20"/>
  <c r="EM21" i="20" s="1"/>
  <c r="EM12" i="20"/>
  <c r="EM11" i="20"/>
  <c r="EM19" i="20" s="1"/>
  <c r="EM10" i="20"/>
  <c r="EM18" i="20" s="1"/>
  <c r="EL23" i="20"/>
  <c r="EL22" i="20"/>
  <c r="EO21" i="20"/>
  <c r="EO20" i="20"/>
  <c r="EO19" i="20"/>
  <c r="EO18" i="20"/>
  <c r="EM20" i="20"/>
  <c r="EF13" i="20"/>
  <c r="EF21" i="20" s="1"/>
  <c r="EF12" i="20"/>
  <c r="EF20" i="20" s="1"/>
  <c r="EF11" i="20"/>
  <c r="EF10" i="20"/>
  <c r="EF18" i="20" s="1"/>
  <c r="EE23" i="20"/>
  <c r="EE22" i="20"/>
  <c r="EH21" i="20"/>
  <c r="EH20" i="20"/>
  <c r="EH19" i="20"/>
  <c r="EH18" i="20"/>
  <c r="EF19" i="20"/>
  <c r="DY13" i="20"/>
  <c r="DY21" i="20" s="1"/>
  <c r="DY12" i="20"/>
  <c r="DY20" i="20" s="1"/>
  <c r="DY11" i="20"/>
  <c r="DY19" i="20" s="1"/>
  <c r="DY10" i="20"/>
  <c r="DY18" i="20" s="1"/>
  <c r="DX23" i="20"/>
  <c r="DX22" i="20"/>
  <c r="DX29" i="20" s="1"/>
  <c r="EA21" i="20"/>
  <c r="EA20" i="20"/>
  <c r="EA19" i="20"/>
  <c r="EA18" i="20"/>
  <c r="DR13" i="20"/>
  <c r="DR21" i="20" s="1"/>
  <c r="DR12" i="20"/>
  <c r="DR20" i="20" s="1"/>
  <c r="DR11" i="20"/>
  <c r="DR10" i="20"/>
  <c r="DR18" i="20" s="1"/>
  <c r="DQ23" i="20"/>
  <c r="DQ22" i="20"/>
  <c r="DQ29" i="20" s="1"/>
  <c r="DT21" i="20"/>
  <c r="DT20" i="20"/>
  <c r="DT19" i="20"/>
  <c r="DT18" i="20"/>
  <c r="DR19" i="20"/>
  <c r="DK13" i="20"/>
  <c r="DK21" i="20" s="1"/>
  <c r="DK12" i="20"/>
  <c r="DK20" i="20" s="1"/>
  <c r="DK11" i="20"/>
  <c r="DK19" i="20" s="1"/>
  <c r="DK10" i="20"/>
  <c r="DK18" i="20" s="1"/>
  <c r="DJ23" i="20"/>
  <c r="DJ22" i="20"/>
  <c r="DM21" i="20"/>
  <c r="DM20" i="20"/>
  <c r="DM19" i="20"/>
  <c r="DM18" i="20"/>
  <c r="D39" i="4"/>
  <c r="E39" i="4"/>
  <c r="F39" i="4"/>
  <c r="D40" i="4"/>
  <c r="E40" i="4"/>
  <c r="F40" i="4"/>
  <c r="D41" i="4"/>
  <c r="E41" i="4"/>
  <c r="F41" i="4"/>
  <c r="D42" i="4"/>
  <c r="E42" i="4"/>
  <c r="F42" i="4"/>
  <c r="D45" i="4"/>
  <c r="E45" i="4"/>
  <c r="F45" i="4"/>
  <c r="D36" i="4"/>
  <c r="E36" i="4"/>
  <c r="F36" i="4"/>
  <c r="D33" i="4"/>
  <c r="E33" i="4"/>
  <c r="F33" i="4"/>
  <c r="F34" i="4" s="1"/>
  <c r="D32" i="4"/>
  <c r="D34" i="4" s="1"/>
  <c r="D35" i="4" s="1"/>
  <c r="E32" i="4"/>
  <c r="F32" i="4"/>
  <c r="C32" i="4"/>
  <c r="DD13" i="20"/>
  <c r="DD21" i="20" s="1"/>
  <c r="DD12" i="20"/>
  <c r="DD20" i="20" s="1"/>
  <c r="DD11" i="20"/>
  <c r="DD19" i="20" s="1"/>
  <c r="DD10" i="20"/>
  <c r="DD18" i="20" s="1"/>
  <c r="DC23" i="20"/>
  <c r="DC22" i="20"/>
  <c r="DC29" i="20" s="1"/>
  <c r="DF21" i="20"/>
  <c r="DF20" i="20"/>
  <c r="DF19" i="20"/>
  <c r="DF18" i="20"/>
  <c r="D12" i="4"/>
  <c r="D18" i="4" s="1"/>
  <c r="D19" i="4" s="1"/>
  <c r="E12" i="4"/>
  <c r="E18" i="4" s="1"/>
  <c r="E22" i="4" s="1"/>
  <c r="F12" i="4"/>
  <c r="F13" i="4" s="1"/>
  <c r="CW13" i="20"/>
  <c r="CW21" i="20" s="1"/>
  <c r="CW12" i="20"/>
  <c r="CW20" i="20" s="1"/>
  <c r="CW11" i="20"/>
  <c r="CW19" i="20" s="1"/>
  <c r="CW10" i="20"/>
  <c r="CW18" i="20" s="1"/>
  <c r="CV23" i="20"/>
  <c r="CV22" i="20"/>
  <c r="CY21" i="20"/>
  <c r="CY20" i="20"/>
  <c r="CY19" i="20"/>
  <c r="CY18" i="20"/>
  <c r="CP13" i="20"/>
  <c r="CP21" i="20" s="1"/>
  <c r="CP12" i="20"/>
  <c r="CP20" i="20" s="1"/>
  <c r="CP11" i="20"/>
  <c r="CP19" i="20" s="1"/>
  <c r="CP10" i="20"/>
  <c r="CP18" i="20" s="1"/>
  <c r="CO23" i="20"/>
  <c r="CO22" i="20"/>
  <c r="CR21" i="20"/>
  <c r="CR20" i="20"/>
  <c r="CR19" i="20"/>
  <c r="CR18" i="20"/>
  <c r="CI13" i="20"/>
  <c r="CI21" i="20" s="1"/>
  <c r="CI12" i="20"/>
  <c r="CI20" i="20" s="1"/>
  <c r="CI11" i="20"/>
  <c r="CI19" i="20" s="1"/>
  <c r="CI10" i="20"/>
  <c r="CI18" i="20" s="1"/>
  <c r="CH23" i="20"/>
  <c r="CH22" i="20"/>
  <c r="CK21" i="20"/>
  <c r="CK20" i="20"/>
  <c r="CK19" i="20"/>
  <c r="CK18" i="20"/>
  <c r="C33" i="3"/>
  <c r="D33" i="3"/>
  <c r="E33" i="3"/>
  <c r="F33" i="3"/>
  <c r="CB13" i="20"/>
  <c r="CB21" i="20" s="1"/>
  <c r="CB12" i="20"/>
  <c r="CB20" i="20" s="1"/>
  <c r="CB11" i="20"/>
  <c r="CB19" i="20" s="1"/>
  <c r="CB10" i="20"/>
  <c r="CA23" i="20"/>
  <c r="CA22" i="20"/>
  <c r="CD21" i="20"/>
  <c r="CD20" i="20"/>
  <c r="CD19" i="20"/>
  <c r="CD18" i="20"/>
  <c r="CB18" i="20"/>
  <c r="D26" i="3"/>
  <c r="E26" i="3"/>
  <c r="F26" i="3"/>
  <c r="BU13" i="20"/>
  <c r="BU21" i="20" s="1"/>
  <c r="BU12" i="20"/>
  <c r="BU20" i="20" s="1"/>
  <c r="BU11" i="20"/>
  <c r="BU19" i="20" s="1"/>
  <c r="BU10" i="20"/>
  <c r="BU18" i="20" s="1"/>
  <c r="BT23" i="20"/>
  <c r="BT22" i="20"/>
  <c r="BW21" i="20"/>
  <c r="BW20" i="20"/>
  <c r="BW19" i="20"/>
  <c r="BW18" i="20"/>
  <c r="BN13" i="20"/>
  <c r="BN21" i="20" s="1"/>
  <c r="BN12" i="20"/>
  <c r="BN20" i="20" s="1"/>
  <c r="BN11" i="20"/>
  <c r="BN19" i="20" s="1"/>
  <c r="BN10" i="20"/>
  <c r="BN18" i="20" s="1"/>
  <c r="BM23" i="20"/>
  <c r="BM22" i="20"/>
  <c r="BP21" i="20"/>
  <c r="BP20" i="20"/>
  <c r="BP19" i="20"/>
  <c r="BP18" i="20"/>
  <c r="BG13" i="20"/>
  <c r="BG21" i="20" s="1"/>
  <c r="BJ21" i="20" s="1"/>
  <c r="BG12" i="20"/>
  <c r="BG20" i="20" s="1"/>
  <c r="BG11" i="20"/>
  <c r="BG19" i="20" s="1"/>
  <c r="BJ19" i="20" s="1"/>
  <c r="BG10" i="20"/>
  <c r="BG18" i="20" s="1"/>
  <c r="BF23" i="20"/>
  <c r="BF22" i="20"/>
  <c r="BI21" i="20"/>
  <c r="BI20" i="20"/>
  <c r="BI19" i="20"/>
  <c r="BI18" i="20"/>
  <c r="AZ13" i="20"/>
  <c r="AZ21" i="20" s="1"/>
  <c r="AZ12" i="20"/>
  <c r="AZ20" i="20" s="1"/>
  <c r="AZ11" i="20"/>
  <c r="AZ10" i="20"/>
  <c r="AY23" i="20"/>
  <c r="AY22" i="20"/>
  <c r="BB21" i="20"/>
  <c r="BB20" i="20"/>
  <c r="BB19" i="20"/>
  <c r="BB18" i="20"/>
  <c r="AZ19" i="20"/>
  <c r="AZ18" i="20"/>
  <c r="AS13" i="20"/>
  <c r="AS21" i="20" s="1"/>
  <c r="AS12" i="20"/>
  <c r="AS20" i="20" s="1"/>
  <c r="AS11" i="20"/>
  <c r="AS19" i="20" s="1"/>
  <c r="AS10" i="20"/>
  <c r="AS18" i="20" s="1"/>
  <c r="AR23" i="20"/>
  <c r="AR22" i="20"/>
  <c r="AU21" i="20"/>
  <c r="AU20" i="20"/>
  <c r="AU19" i="20"/>
  <c r="AU18" i="20"/>
  <c r="AU22" i="20" s="1"/>
  <c r="AR28" i="20" s="1"/>
  <c r="D24" i="3"/>
  <c r="D27" i="3" s="1"/>
  <c r="D35" i="3" s="1"/>
  <c r="E24" i="3"/>
  <c r="F24" i="3"/>
  <c r="AL13" i="20"/>
  <c r="AL21" i="20" s="1"/>
  <c r="AL12" i="20"/>
  <c r="AL20" i="20" s="1"/>
  <c r="AL11" i="20"/>
  <c r="AL19" i="20" s="1"/>
  <c r="AL10" i="20"/>
  <c r="AL18" i="20" s="1"/>
  <c r="AK23" i="20"/>
  <c r="AK22" i="20"/>
  <c r="AN21" i="20"/>
  <c r="AN20" i="20"/>
  <c r="AN19" i="20"/>
  <c r="AN18" i="20"/>
  <c r="F16" i="3"/>
  <c r="AE13" i="20"/>
  <c r="AE21" i="20" s="1"/>
  <c r="AE10" i="20"/>
  <c r="AE18" i="20" s="1"/>
  <c r="AD23" i="20"/>
  <c r="AD22" i="20"/>
  <c r="AG21" i="20"/>
  <c r="AG20" i="20"/>
  <c r="AG19" i="20"/>
  <c r="AG18" i="20"/>
  <c r="F14" i="3"/>
  <c r="X13" i="20"/>
  <c r="X21" i="20" s="1"/>
  <c r="X12" i="20"/>
  <c r="X20" i="20" s="1"/>
  <c r="X11" i="20"/>
  <c r="X19" i="20" s="1"/>
  <c r="X10" i="20"/>
  <c r="X18" i="20" s="1"/>
  <c r="W23" i="20"/>
  <c r="W22" i="20"/>
  <c r="Z21" i="20"/>
  <c r="Z20" i="20"/>
  <c r="Z19" i="20"/>
  <c r="Z18" i="20"/>
  <c r="Q13" i="20"/>
  <c r="Q21" i="20" s="1"/>
  <c r="Q12" i="20"/>
  <c r="Q20" i="20" s="1"/>
  <c r="Q11" i="20"/>
  <c r="Q19" i="20" s="1"/>
  <c r="Q10" i="20"/>
  <c r="Q18" i="20" s="1"/>
  <c r="P23" i="20"/>
  <c r="P22" i="20"/>
  <c r="S21" i="20"/>
  <c r="S20" i="20"/>
  <c r="S19" i="20"/>
  <c r="S18" i="20"/>
  <c r="J13" i="20"/>
  <c r="J21" i="20" s="1"/>
  <c r="J12" i="20"/>
  <c r="J20" i="20" s="1"/>
  <c r="J11" i="20"/>
  <c r="J19" i="20" s="1"/>
  <c r="J10" i="20"/>
  <c r="J18" i="20" s="1"/>
  <c r="I23" i="20"/>
  <c r="I22" i="20"/>
  <c r="L21" i="20"/>
  <c r="L20" i="20"/>
  <c r="L19" i="20"/>
  <c r="L18" i="20"/>
  <c r="F37" i="4" l="1"/>
  <c r="CK22" i="20"/>
  <c r="CH28" i="20" s="1"/>
  <c r="EH22" i="20"/>
  <c r="EE28" i="20" s="1"/>
  <c r="E27" i="3"/>
  <c r="E19" i="4"/>
  <c r="AG22" i="20"/>
  <c r="AD28" i="20" s="1"/>
  <c r="F27" i="3"/>
  <c r="F35" i="3" s="1"/>
  <c r="CY22" i="20"/>
  <c r="CV28" i="20" s="1"/>
  <c r="EA22" i="20"/>
  <c r="DX28" i="20" s="1"/>
  <c r="DY28" i="20" s="1"/>
  <c r="Z22" i="20"/>
  <c r="W28" i="20" s="1"/>
  <c r="E13" i="4"/>
  <c r="F35" i="4"/>
  <c r="DT22" i="20"/>
  <c r="DQ28" i="20" s="1"/>
  <c r="DR28" i="20" s="1"/>
  <c r="BW22" i="20"/>
  <c r="BT28" i="20" s="1"/>
  <c r="D13" i="4"/>
  <c r="D37" i="4"/>
  <c r="D22" i="4"/>
  <c r="BB22" i="20"/>
  <c r="AY28" i="20" s="1"/>
  <c r="DF22" i="20"/>
  <c r="DC28" i="20" s="1"/>
  <c r="DD28" i="20" s="1"/>
  <c r="F38" i="4"/>
  <c r="F43" i="4"/>
  <c r="F50" i="4" s="1"/>
  <c r="E35" i="3"/>
  <c r="CR22" i="20"/>
  <c r="CO28" i="20" s="1"/>
  <c r="S22" i="20"/>
  <c r="P28" i="20" s="1"/>
  <c r="BI22" i="20"/>
  <c r="BF28" i="20" s="1"/>
  <c r="CD22" i="20"/>
  <c r="CA28" i="20" s="1"/>
  <c r="F18" i="4"/>
  <c r="E34" i="4"/>
  <c r="EV22" i="20"/>
  <c r="ES28" i="20" s="1"/>
  <c r="L22" i="20"/>
  <c r="I28" i="20" s="1"/>
  <c r="AN22" i="20"/>
  <c r="AK28" i="20" s="1"/>
  <c r="BP22" i="20"/>
  <c r="BM28" i="20" s="1"/>
  <c r="EO22" i="20"/>
  <c r="EL28" i="20" s="1"/>
  <c r="DM22" i="20"/>
  <c r="DJ28" i="20" s="1"/>
  <c r="FC22" i="20"/>
  <c r="EZ28" i="20" s="1"/>
  <c r="FD19" i="20"/>
  <c r="FB19" i="20"/>
  <c r="FD21" i="20"/>
  <c r="FB21" i="20"/>
  <c r="FA22" i="20"/>
  <c r="EZ26" i="20" s="1"/>
  <c r="FD18" i="20"/>
  <c r="FB18" i="20"/>
  <c r="FA23" i="20"/>
  <c r="FD20" i="20"/>
  <c r="FB20" i="20"/>
  <c r="EZ29" i="20"/>
  <c r="FA28" i="20" s="1"/>
  <c r="EW19" i="20"/>
  <c r="EU19" i="20"/>
  <c r="EW21" i="20"/>
  <c r="EU21" i="20"/>
  <c r="ET22" i="20"/>
  <c r="ES26" i="20" s="1"/>
  <c r="EW18" i="20"/>
  <c r="EU18" i="20"/>
  <c r="ET23" i="20"/>
  <c r="EW20" i="20"/>
  <c r="EU20" i="20"/>
  <c r="ES29" i="20"/>
  <c r="EP19" i="20"/>
  <c r="EN19" i="20"/>
  <c r="EP21" i="20"/>
  <c r="EN21" i="20"/>
  <c r="EM22" i="20"/>
  <c r="EL26" i="20" s="1"/>
  <c r="EP18" i="20"/>
  <c r="EN18" i="20"/>
  <c r="EM23" i="20"/>
  <c r="EP20" i="20"/>
  <c r="EN20" i="20"/>
  <c r="EL29" i="20"/>
  <c r="EI19" i="20"/>
  <c r="EG19" i="20"/>
  <c r="EI21" i="20"/>
  <c r="EG21" i="20"/>
  <c r="EF22" i="20"/>
  <c r="EE26" i="20" s="1"/>
  <c r="EI18" i="20"/>
  <c r="EG18" i="20"/>
  <c r="EF23" i="20"/>
  <c r="EI20" i="20"/>
  <c r="EG20" i="20"/>
  <c r="EE29" i="20"/>
  <c r="EF28" i="20" s="1"/>
  <c r="EB19" i="20"/>
  <c r="DZ19" i="20"/>
  <c r="EB21" i="20"/>
  <c r="DZ21" i="20"/>
  <c r="DY23" i="20"/>
  <c r="DY22" i="20"/>
  <c r="DX26" i="20" s="1"/>
  <c r="EB18" i="20"/>
  <c r="DZ18" i="20"/>
  <c r="EB20" i="20"/>
  <c r="DZ20" i="20"/>
  <c r="DU19" i="20"/>
  <c r="DS19" i="20"/>
  <c r="DU21" i="20"/>
  <c r="DS21" i="20"/>
  <c r="DR23" i="20"/>
  <c r="DR22" i="20"/>
  <c r="DQ26" i="20" s="1"/>
  <c r="DU18" i="20"/>
  <c r="DS18" i="20"/>
  <c r="DU20" i="20"/>
  <c r="DS20" i="20"/>
  <c r="DN19" i="20"/>
  <c r="DL19" i="20"/>
  <c r="DN21" i="20"/>
  <c r="DL21" i="20"/>
  <c r="DK22" i="20"/>
  <c r="DJ26" i="20" s="1"/>
  <c r="DN18" i="20"/>
  <c r="DL18" i="20"/>
  <c r="DK23" i="20"/>
  <c r="DN20" i="20"/>
  <c r="DL20" i="20"/>
  <c r="DJ29" i="20"/>
  <c r="DG19" i="20"/>
  <c r="DE19" i="20"/>
  <c r="DG21" i="20"/>
  <c r="DE21" i="20"/>
  <c r="DD23" i="20"/>
  <c r="DD22" i="20"/>
  <c r="DC26" i="20" s="1"/>
  <c r="DG18" i="20"/>
  <c r="DE18" i="20"/>
  <c r="DG20" i="20"/>
  <c r="DE20" i="20"/>
  <c r="CZ19" i="20"/>
  <c r="CX19" i="20"/>
  <c r="CZ21" i="20"/>
  <c r="CX21" i="20"/>
  <c r="CW22" i="20"/>
  <c r="CV26" i="20" s="1"/>
  <c r="CZ18" i="20"/>
  <c r="CX18" i="20"/>
  <c r="CW23" i="20"/>
  <c r="CZ20" i="20"/>
  <c r="CX20" i="20"/>
  <c r="CV29" i="20"/>
  <c r="CS19" i="20"/>
  <c r="CQ19" i="20"/>
  <c r="CS21" i="20"/>
  <c r="CQ21" i="20"/>
  <c r="CP22" i="20"/>
  <c r="CO26" i="20" s="1"/>
  <c r="CS18" i="20"/>
  <c r="CQ18" i="20"/>
  <c r="CP23" i="20"/>
  <c r="CS20" i="20"/>
  <c r="CQ20" i="20"/>
  <c r="CO29" i="20"/>
  <c r="CL19" i="20"/>
  <c r="CJ19" i="20"/>
  <c r="CL21" i="20"/>
  <c r="CJ21" i="20"/>
  <c r="CI22" i="20"/>
  <c r="CH26" i="20" s="1"/>
  <c r="CL18" i="20"/>
  <c r="CJ18" i="20"/>
  <c r="CI23" i="20"/>
  <c r="CL20" i="20"/>
  <c r="CJ20" i="20"/>
  <c r="CH29" i="20"/>
  <c r="CI28" i="20" s="1"/>
  <c r="CE19" i="20"/>
  <c r="CC19" i="20"/>
  <c r="CE21" i="20"/>
  <c r="CC21" i="20"/>
  <c r="CB22" i="20"/>
  <c r="CA26" i="20" s="1"/>
  <c r="CE18" i="20"/>
  <c r="CC18" i="20"/>
  <c r="CB23" i="20"/>
  <c r="CE20" i="20"/>
  <c r="CC20" i="20"/>
  <c r="CA29" i="20"/>
  <c r="BX19" i="20"/>
  <c r="BV19" i="20"/>
  <c r="BX21" i="20"/>
  <c r="BV21" i="20"/>
  <c r="BU22" i="20"/>
  <c r="BT26" i="20" s="1"/>
  <c r="BX18" i="20"/>
  <c r="BV18" i="20"/>
  <c r="BU23" i="20"/>
  <c r="BX20" i="20"/>
  <c r="BV20" i="20"/>
  <c r="BT29" i="20"/>
  <c r="BQ19" i="20"/>
  <c r="BO19" i="20"/>
  <c r="BQ21" i="20"/>
  <c r="BO21" i="20"/>
  <c r="BN22" i="20"/>
  <c r="BM26" i="20" s="1"/>
  <c r="BQ18" i="20"/>
  <c r="BO18" i="20"/>
  <c r="BN23" i="20"/>
  <c r="BQ20" i="20"/>
  <c r="BO20" i="20"/>
  <c r="BM29" i="20"/>
  <c r="BG22" i="20"/>
  <c r="BF26" i="20" s="1"/>
  <c r="BJ18" i="20"/>
  <c r="BH18" i="20"/>
  <c r="BG23" i="20"/>
  <c r="BJ20" i="20"/>
  <c r="BH20" i="20"/>
  <c r="BF29" i="20"/>
  <c r="BH19" i="20"/>
  <c r="BH21" i="20"/>
  <c r="BC19" i="20"/>
  <c r="BA19" i="20"/>
  <c r="BC21" i="20"/>
  <c r="BA21" i="20"/>
  <c r="AZ22" i="20"/>
  <c r="AY26" i="20" s="1"/>
  <c r="BC18" i="20"/>
  <c r="BA18" i="20"/>
  <c r="AZ23" i="20"/>
  <c r="BC20" i="20"/>
  <c r="BA20" i="20"/>
  <c r="AY29" i="20"/>
  <c r="AZ28" i="20" s="1"/>
  <c r="AV19" i="20"/>
  <c r="AT19" i="20"/>
  <c r="AV21" i="20"/>
  <c r="AT21" i="20"/>
  <c r="AS22" i="20"/>
  <c r="AR26" i="20" s="1"/>
  <c r="AV18" i="20"/>
  <c r="AT18" i="20"/>
  <c r="AS23" i="20"/>
  <c r="AV20" i="20"/>
  <c r="AT20" i="20"/>
  <c r="AR29" i="20"/>
  <c r="AS28" i="20" s="1"/>
  <c r="AO19" i="20"/>
  <c r="AM19" i="20"/>
  <c r="AO21" i="20"/>
  <c r="AM21" i="20"/>
  <c r="AL22" i="20"/>
  <c r="AK26" i="20" s="1"/>
  <c r="AO18" i="20"/>
  <c r="AM18" i="20"/>
  <c r="AL23" i="20"/>
  <c r="AO20" i="20"/>
  <c r="AM20" i="20"/>
  <c r="AK29" i="20"/>
  <c r="AL28" i="20" s="1"/>
  <c r="AH21" i="20"/>
  <c r="AF21" i="20"/>
  <c r="AH18" i="20"/>
  <c r="AF18" i="20"/>
  <c r="AD29" i="20"/>
  <c r="AA19" i="20"/>
  <c r="Y19" i="20"/>
  <c r="AA21" i="20"/>
  <c r="Y21" i="20"/>
  <c r="X22" i="20"/>
  <c r="W26" i="20" s="1"/>
  <c r="AA18" i="20"/>
  <c r="Y18" i="20"/>
  <c r="X23" i="20"/>
  <c r="AA20" i="20"/>
  <c r="Y20" i="20"/>
  <c r="W29" i="20"/>
  <c r="Q22" i="20"/>
  <c r="P26" i="20" s="1"/>
  <c r="T18" i="20"/>
  <c r="R18" i="20"/>
  <c r="Q23" i="20"/>
  <c r="T19" i="20"/>
  <c r="R19" i="20"/>
  <c r="T21" i="20"/>
  <c r="R21" i="20"/>
  <c r="T20" i="20"/>
  <c r="R20" i="20"/>
  <c r="P29" i="20"/>
  <c r="J22" i="20"/>
  <c r="I26" i="20" s="1"/>
  <c r="M18" i="20"/>
  <c r="K18" i="20"/>
  <c r="J23" i="20"/>
  <c r="M20" i="20"/>
  <c r="K20" i="20"/>
  <c r="M19" i="20"/>
  <c r="K19" i="20"/>
  <c r="M21" i="20"/>
  <c r="K21" i="20"/>
  <c r="I29" i="20"/>
  <c r="CW28" i="20" l="1"/>
  <c r="J28" i="20"/>
  <c r="BG28" i="20"/>
  <c r="AE28" i="20"/>
  <c r="BU28" i="20"/>
  <c r="X28" i="20"/>
  <c r="EM28" i="20"/>
  <c r="ET28" i="20"/>
  <c r="E37" i="4"/>
  <c r="E35" i="4"/>
  <c r="D38" i="4"/>
  <c r="D43" i="4"/>
  <c r="Q28" i="20"/>
  <c r="CL22" i="20"/>
  <c r="CZ22" i="20"/>
  <c r="F22" i="4"/>
  <c r="F19" i="4"/>
  <c r="DK28" i="20"/>
  <c r="EI22" i="20"/>
  <c r="BN28" i="20"/>
  <c r="CB28" i="20"/>
  <c r="CP28" i="20"/>
  <c r="F46" i="4"/>
  <c r="F44" i="4"/>
  <c r="FD22" i="20"/>
  <c r="FB22" i="20"/>
  <c r="EZ25" i="20" s="1"/>
  <c r="FA25" i="20" s="1"/>
  <c r="EZ31" i="20" s="1"/>
  <c r="EZ37" i="20" s="1"/>
  <c r="EW22" i="20"/>
  <c r="EU22" i="20"/>
  <c r="ES25" i="20" s="1"/>
  <c r="ET25" i="20" s="1"/>
  <c r="EP22" i="20"/>
  <c r="EN22" i="20"/>
  <c r="EL25" i="20" s="1"/>
  <c r="EM25" i="20" s="1"/>
  <c r="EL31" i="20" s="1"/>
  <c r="EL37" i="20" s="1"/>
  <c r="EG22" i="20"/>
  <c r="EE25" i="20" s="1"/>
  <c r="EF25" i="20" s="1"/>
  <c r="EE31" i="20" s="1"/>
  <c r="EE37" i="20" s="1"/>
  <c r="EB22" i="20"/>
  <c r="DZ22" i="20"/>
  <c r="DX25" i="20" s="1"/>
  <c r="DY25" i="20" s="1"/>
  <c r="DX31" i="20" s="1"/>
  <c r="DX37" i="20" s="1"/>
  <c r="DU22" i="20"/>
  <c r="DS22" i="20"/>
  <c r="DQ25" i="20" s="1"/>
  <c r="DR25" i="20" s="1"/>
  <c r="DQ31" i="20" s="1"/>
  <c r="DQ37" i="20" s="1"/>
  <c r="DN22" i="20"/>
  <c r="DL22" i="20"/>
  <c r="DJ25" i="20" s="1"/>
  <c r="DK25" i="20" s="1"/>
  <c r="DG22" i="20"/>
  <c r="DE22" i="20"/>
  <c r="DC25" i="20" s="1"/>
  <c r="DD25" i="20" s="1"/>
  <c r="DC31" i="20" s="1"/>
  <c r="DC37" i="20" s="1"/>
  <c r="CX22" i="20"/>
  <c r="CV25" i="20" s="1"/>
  <c r="CW25" i="20" s="1"/>
  <c r="CS22" i="20"/>
  <c r="CQ22" i="20"/>
  <c r="CO25" i="20" s="1"/>
  <c r="CP25" i="20" s="1"/>
  <c r="CO31" i="20" s="1"/>
  <c r="CO37" i="20" s="1"/>
  <c r="CJ22" i="20"/>
  <c r="CH25" i="20" s="1"/>
  <c r="CI25" i="20" s="1"/>
  <c r="CH31" i="20" s="1"/>
  <c r="CH37" i="20" s="1"/>
  <c r="CE22" i="20"/>
  <c r="CC22" i="20"/>
  <c r="CA25" i="20" s="1"/>
  <c r="CB25" i="20" s="1"/>
  <c r="CA31" i="20" s="1"/>
  <c r="CA37" i="20" s="1"/>
  <c r="BX22" i="20"/>
  <c r="BV22" i="20"/>
  <c r="BT25" i="20" s="1"/>
  <c r="BU25" i="20" s="1"/>
  <c r="BQ22" i="20"/>
  <c r="BO22" i="20"/>
  <c r="BM25" i="20" s="1"/>
  <c r="BN25" i="20" s="1"/>
  <c r="BM31" i="20" s="1"/>
  <c r="BM37" i="20" s="1"/>
  <c r="BJ22" i="20"/>
  <c r="BH22" i="20"/>
  <c r="BF25" i="20" s="1"/>
  <c r="BG25" i="20" s="1"/>
  <c r="BF31" i="20" s="1"/>
  <c r="BF37" i="20" s="1"/>
  <c r="BC22" i="20"/>
  <c r="BA22" i="20"/>
  <c r="AY25" i="20" s="1"/>
  <c r="AZ25" i="20" s="1"/>
  <c r="AY31" i="20" s="1"/>
  <c r="AY37" i="20" s="1"/>
  <c r="AV22" i="20"/>
  <c r="AT22" i="20"/>
  <c r="AR25" i="20" s="1"/>
  <c r="AS25" i="20" s="1"/>
  <c r="AR31" i="20" s="1"/>
  <c r="AR37" i="20" s="1"/>
  <c r="AO22" i="20"/>
  <c r="AM22" i="20"/>
  <c r="AK25" i="20" s="1"/>
  <c r="AL25" i="20" s="1"/>
  <c r="AK31" i="20" s="1"/>
  <c r="AK37" i="20" s="1"/>
  <c r="AA22" i="20"/>
  <c r="Y22" i="20"/>
  <c r="W25" i="20" s="1"/>
  <c r="X25" i="20" s="1"/>
  <c r="T22" i="20"/>
  <c r="R22" i="20"/>
  <c r="P25" i="20" s="1"/>
  <c r="Q25" i="20" s="1"/>
  <c r="M22" i="20"/>
  <c r="K22" i="20"/>
  <c r="I25" i="20" s="1"/>
  <c r="J25" i="20" s="1"/>
  <c r="CV31" i="20" l="1"/>
  <c r="CV37" i="20" s="1"/>
  <c r="I31" i="20"/>
  <c r="I37" i="20" s="1"/>
  <c r="ES31" i="20"/>
  <c r="ES37" i="20" s="1"/>
  <c r="DJ31" i="20"/>
  <c r="DJ37" i="20" s="1"/>
  <c r="W31" i="20"/>
  <c r="W37" i="20" s="1"/>
  <c r="BT31" i="20"/>
  <c r="BT37" i="20" s="1"/>
  <c r="E43" i="4"/>
  <c r="E50" i="4" s="1"/>
  <c r="E38" i="4"/>
  <c r="D44" i="4"/>
  <c r="D46" i="4"/>
  <c r="P31" i="20"/>
  <c r="P37" i="20" s="1"/>
  <c r="F47" i="4"/>
  <c r="EZ33" i="20"/>
  <c r="FB37" i="20" s="1"/>
  <c r="FA45" i="20" s="1"/>
  <c r="K23" i="4" s="1"/>
  <c r="K45" i="4" s="1"/>
  <c r="EL33" i="20"/>
  <c r="EN37" i="20" s="1"/>
  <c r="EM44" i="20" s="1"/>
  <c r="J20" i="4" s="1"/>
  <c r="J41" i="4" s="1"/>
  <c r="E19" i="24" s="1"/>
  <c r="EE33" i="20"/>
  <c r="EG37" i="20" s="1"/>
  <c r="EF45" i="20" s="1"/>
  <c r="K16" i="4" s="1"/>
  <c r="K40" i="4" s="1"/>
  <c r="DX33" i="20"/>
  <c r="DZ37" i="20" s="1"/>
  <c r="DY43" i="20" s="1"/>
  <c r="I15" i="4" s="1"/>
  <c r="I36" i="4" s="1"/>
  <c r="DQ33" i="20"/>
  <c r="DS37" i="20" s="1"/>
  <c r="DR42" i="20" s="1"/>
  <c r="H14" i="4" s="1"/>
  <c r="H39" i="4" s="1"/>
  <c r="DC33" i="20"/>
  <c r="DE37" i="20" s="1"/>
  <c r="DD45" i="20" s="1"/>
  <c r="K10" i="4" s="1"/>
  <c r="CO33" i="20"/>
  <c r="CQ37" i="20" s="1"/>
  <c r="CP42" i="20" s="1"/>
  <c r="H31" i="3" s="1"/>
  <c r="CH33" i="20"/>
  <c r="CJ37" i="20" s="1"/>
  <c r="CI44" i="20" s="1"/>
  <c r="J30" i="3" s="1"/>
  <c r="CA33" i="20"/>
  <c r="CC37" i="20" s="1"/>
  <c r="CB43" i="20" s="1"/>
  <c r="I29" i="3" s="1"/>
  <c r="BT33" i="20"/>
  <c r="BV37" i="20" s="1"/>
  <c r="BU45" i="20" s="1"/>
  <c r="K25" i="3" s="1"/>
  <c r="K26" i="3" s="1"/>
  <c r="BM33" i="20"/>
  <c r="BO37" i="20" s="1"/>
  <c r="BN41" i="20" s="1"/>
  <c r="G23" i="3" s="1"/>
  <c r="BF33" i="20"/>
  <c r="BH37" i="20" s="1"/>
  <c r="BG41" i="20" s="1"/>
  <c r="G22" i="3" s="1"/>
  <c r="AY33" i="20"/>
  <c r="BA37" i="20" s="1"/>
  <c r="AZ42" i="20" s="1"/>
  <c r="H21" i="3" s="1"/>
  <c r="AR33" i="20"/>
  <c r="AT37" i="20" s="1"/>
  <c r="AS45" i="20" s="1"/>
  <c r="K20" i="3" s="1"/>
  <c r="AK33" i="20"/>
  <c r="AM37" i="20" s="1"/>
  <c r="AL43" i="20" s="1"/>
  <c r="I19" i="3" s="1"/>
  <c r="I33" i="20" l="1"/>
  <c r="K37" i="20" s="1"/>
  <c r="J42" i="20" s="1"/>
  <c r="H11" i="3" s="1"/>
  <c r="DR45" i="20"/>
  <c r="K14" i="4" s="1"/>
  <c r="K39" i="4" s="1"/>
  <c r="BU42" i="20"/>
  <c r="H25" i="3" s="1"/>
  <c r="H26" i="3" s="1"/>
  <c r="CV33" i="20"/>
  <c r="CX37" i="20" s="1"/>
  <c r="CW45" i="20" s="1"/>
  <c r="K32" i="3" s="1"/>
  <c r="DJ33" i="20"/>
  <c r="DL37" i="20" s="1"/>
  <c r="DK41" i="20" s="1"/>
  <c r="G11" i="4" s="1"/>
  <c r="G33" i="4" s="1"/>
  <c r="D14" i="21"/>
  <c r="D51" i="21" s="1"/>
  <c r="D14" i="24"/>
  <c r="D51" i="24" s="1"/>
  <c r="ET44" i="20"/>
  <c r="J21" i="4" s="1"/>
  <c r="J42" i="4" s="1"/>
  <c r="CI45" i="20"/>
  <c r="K30" i="3" s="1"/>
  <c r="ES33" i="20"/>
  <c r="EU37" i="20" s="1"/>
  <c r="ET45" i="20" s="1"/>
  <c r="K21" i="4" s="1"/>
  <c r="K42" i="4" s="1"/>
  <c r="CW43" i="20"/>
  <c r="I32" i="3" s="1"/>
  <c r="BG44" i="20"/>
  <c r="J22" i="3" s="1"/>
  <c r="EM43" i="20"/>
  <c r="I20" i="4" s="1"/>
  <c r="I41" i="4" s="1"/>
  <c r="D19" i="24" s="1"/>
  <c r="AS42" i="20"/>
  <c r="H20" i="3" s="1"/>
  <c r="BU43" i="20"/>
  <c r="I25" i="3" s="1"/>
  <c r="I26" i="3" s="1"/>
  <c r="DR41" i="20"/>
  <c r="G14" i="4" s="1"/>
  <c r="G39" i="4" s="1"/>
  <c r="B17" i="24" s="1"/>
  <c r="D14" i="22"/>
  <c r="D51" i="22" s="1"/>
  <c r="F23" i="22"/>
  <c r="F69" i="22" s="1"/>
  <c r="FA44" i="20"/>
  <c r="J23" i="4" s="1"/>
  <c r="J45" i="4" s="1"/>
  <c r="B17" i="21"/>
  <c r="B17" i="22"/>
  <c r="DY45" i="20"/>
  <c r="K15" i="4" s="1"/>
  <c r="K36" i="4" s="1"/>
  <c r="BN45" i="20"/>
  <c r="K23" i="3" s="1"/>
  <c r="AL45" i="20"/>
  <c r="K19" i="3" s="1"/>
  <c r="O71" i="28"/>
  <c r="O64" i="25"/>
  <c r="F18" i="21"/>
  <c r="F18" i="24"/>
  <c r="F18" i="22"/>
  <c r="FA43" i="20"/>
  <c r="I23" i="4" s="1"/>
  <c r="I45" i="4" s="1"/>
  <c r="F17" i="21"/>
  <c r="F17" i="24"/>
  <c r="F17" i="22"/>
  <c r="BU44" i="20"/>
  <c r="J25" i="3" s="1"/>
  <c r="J26" i="3" s="1"/>
  <c r="AS43" i="20"/>
  <c r="I20" i="3" s="1"/>
  <c r="DY44" i="20"/>
  <c r="J15" i="4" s="1"/>
  <c r="J36" i="4" s="1"/>
  <c r="BN44" i="20"/>
  <c r="J23" i="3" s="1"/>
  <c r="P33" i="20"/>
  <c r="R37" i="20" s="1"/>
  <c r="Q43" i="20" s="1"/>
  <c r="I12" i="3" s="1"/>
  <c r="E19" i="21"/>
  <c r="E19" i="22"/>
  <c r="FA42" i="20"/>
  <c r="H23" i="4" s="1"/>
  <c r="H45" i="4" s="1"/>
  <c r="DK42" i="20"/>
  <c r="H11" i="4" s="1"/>
  <c r="H33" i="4" s="1"/>
  <c r="DD44" i="20"/>
  <c r="J10" i="4" s="1"/>
  <c r="BU41" i="20"/>
  <c r="G25" i="3" s="1"/>
  <c r="G26" i="3" s="1"/>
  <c r="AS44" i="20"/>
  <c r="J20" i="3" s="1"/>
  <c r="DY41" i="20"/>
  <c r="G15" i="4" s="1"/>
  <c r="G36" i="4" s="1"/>
  <c r="AL42" i="20"/>
  <c r="H19" i="3" s="1"/>
  <c r="W33" i="20"/>
  <c r="Y37" i="20" s="1"/>
  <c r="X45" i="20" s="1"/>
  <c r="K13" i="3" s="1"/>
  <c r="CW42" i="20"/>
  <c r="H32" i="3" s="1"/>
  <c r="C17" i="21"/>
  <c r="C17" i="24"/>
  <c r="C17" i="22"/>
  <c r="F20" i="22"/>
  <c r="FA41" i="20"/>
  <c r="G23" i="4" s="1"/>
  <c r="G45" i="4" s="1"/>
  <c r="DR44" i="20"/>
  <c r="J14" i="4" s="1"/>
  <c r="J39" i="4" s="1"/>
  <c r="DD43" i="20"/>
  <c r="I10" i="4" s="1"/>
  <c r="AS41" i="20"/>
  <c r="G20" i="3" s="1"/>
  <c r="DY42" i="20"/>
  <c r="H15" i="4" s="1"/>
  <c r="H36" i="4" s="1"/>
  <c r="AL41" i="20"/>
  <c r="G19" i="3" s="1"/>
  <c r="K32" i="4"/>
  <c r="F10" i="22" s="1"/>
  <c r="EF44" i="20"/>
  <c r="J16" i="4" s="1"/>
  <c r="J40" i="4" s="1"/>
  <c r="EF43" i="20"/>
  <c r="I16" i="4" s="1"/>
  <c r="I40" i="4" s="1"/>
  <c r="D47" i="4"/>
  <c r="E46" i="4"/>
  <c r="E44" i="4"/>
  <c r="AZ45" i="20"/>
  <c r="K21" i="3" s="1"/>
  <c r="CI41" i="20"/>
  <c r="G30" i="3" s="1"/>
  <c r="EM42" i="20"/>
  <c r="H20" i="4" s="1"/>
  <c r="H41" i="4" s="1"/>
  <c r="C19" i="24" s="1"/>
  <c r="EM45" i="20"/>
  <c r="K20" i="4" s="1"/>
  <c r="K41" i="4" s="1"/>
  <c r="F19" i="24" s="1"/>
  <c r="EF42" i="20"/>
  <c r="H16" i="4" s="1"/>
  <c r="H40" i="4" s="1"/>
  <c r="I32" i="4"/>
  <c r="D10" i="22" s="1"/>
  <c r="BG43" i="20"/>
  <c r="I22" i="3" s="1"/>
  <c r="BG45" i="20"/>
  <c r="K22" i="3" s="1"/>
  <c r="AZ44" i="20"/>
  <c r="J21" i="3" s="1"/>
  <c r="CI42" i="20"/>
  <c r="H30" i="3" s="1"/>
  <c r="EM41" i="20"/>
  <c r="G20" i="4" s="1"/>
  <c r="G41" i="4" s="1"/>
  <c r="B19" i="24" s="1"/>
  <c r="C15" i="31" s="1"/>
  <c r="EF41" i="20"/>
  <c r="G16" i="4" s="1"/>
  <c r="G40" i="4" s="1"/>
  <c r="DR43" i="20"/>
  <c r="I14" i="4" s="1"/>
  <c r="I39" i="4" s="1"/>
  <c r="DD42" i="20"/>
  <c r="H10" i="4" s="1"/>
  <c r="BG42" i="20"/>
  <c r="H22" i="3" s="1"/>
  <c r="ET41" i="20"/>
  <c r="G21" i="4" s="1"/>
  <c r="G42" i="4" s="1"/>
  <c r="ET43" i="20"/>
  <c r="I21" i="4" s="1"/>
  <c r="I42" i="4" s="1"/>
  <c r="BN42" i="20"/>
  <c r="H23" i="3" s="1"/>
  <c r="BN43" i="20"/>
  <c r="I23" i="3" s="1"/>
  <c r="AZ41" i="20"/>
  <c r="G21" i="3" s="1"/>
  <c r="AL44" i="20"/>
  <c r="J19" i="3" s="1"/>
  <c r="CW41" i="20"/>
  <c r="G32" i="3" s="1"/>
  <c r="DD41" i="20"/>
  <c r="G10" i="4" s="1"/>
  <c r="AZ43" i="20"/>
  <c r="I21" i="3" s="1"/>
  <c r="CB44" i="20"/>
  <c r="J29" i="3" s="1"/>
  <c r="CB45" i="20"/>
  <c r="K29" i="3" s="1"/>
  <c r="CP43" i="20"/>
  <c r="I31" i="3" s="1"/>
  <c r="CP44" i="20"/>
  <c r="J31" i="3" s="1"/>
  <c r="CI43" i="20"/>
  <c r="I30" i="3" s="1"/>
  <c r="CB41" i="20"/>
  <c r="G29" i="3" s="1"/>
  <c r="CB42" i="20"/>
  <c r="H29" i="3" s="1"/>
  <c r="CW44" i="20"/>
  <c r="J32" i="3" s="1"/>
  <c r="CP45" i="20"/>
  <c r="K31" i="3" s="1"/>
  <c r="CP41" i="20"/>
  <c r="G31" i="3" s="1"/>
  <c r="J43" i="20"/>
  <c r="I11" i="3" s="1"/>
  <c r="J44" i="20"/>
  <c r="J11" i="3" s="1"/>
  <c r="X41" i="20"/>
  <c r="G13" i="3" s="1"/>
  <c r="X42" i="20"/>
  <c r="H13" i="3" s="1"/>
  <c r="X43" i="20"/>
  <c r="I13" i="3" s="1"/>
  <c r="J45" i="20"/>
  <c r="K11" i="3" s="1"/>
  <c r="J41" i="20"/>
  <c r="G11" i="3" s="1"/>
  <c r="B20" i="21" l="1"/>
  <c r="B20" i="24"/>
  <c r="E20" i="24"/>
  <c r="E20" i="21"/>
  <c r="J12" i="4"/>
  <c r="J13" i="4" s="1"/>
  <c r="B11" i="21"/>
  <c r="B11" i="24"/>
  <c r="B54" i="24" s="1"/>
  <c r="J32" i="4"/>
  <c r="E10" i="22" s="1"/>
  <c r="DK45" i="20"/>
  <c r="K11" i="4" s="1"/>
  <c r="K33" i="4" s="1"/>
  <c r="DK43" i="20"/>
  <c r="I11" i="4" s="1"/>
  <c r="I33" i="4" s="1"/>
  <c r="C11" i="21"/>
  <c r="C11" i="24"/>
  <c r="F20" i="24"/>
  <c r="F20" i="21"/>
  <c r="B11" i="22"/>
  <c r="D20" i="24"/>
  <c r="D20" i="21"/>
  <c r="DK44" i="20"/>
  <c r="J11" i="4" s="1"/>
  <c r="J33" i="4" s="1"/>
  <c r="B14" i="21"/>
  <c r="B51" i="21" s="1"/>
  <c r="B14" i="24"/>
  <c r="B51" i="24" s="1"/>
  <c r="C14" i="21"/>
  <c r="C14" i="24"/>
  <c r="C51" i="24" s="1"/>
  <c r="E14" i="21"/>
  <c r="E51" i="21" s="1"/>
  <c r="E14" i="24"/>
  <c r="E51" i="24" s="1"/>
  <c r="F14" i="21"/>
  <c r="F14" i="24"/>
  <c r="F51" i="24" s="1"/>
  <c r="D19" i="22"/>
  <c r="D19" i="21"/>
  <c r="I34" i="4"/>
  <c r="K24" i="3"/>
  <c r="K27" i="3" s="1"/>
  <c r="E20" i="22"/>
  <c r="I24" i="3"/>
  <c r="I27" i="3" s="1"/>
  <c r="H24" i="3"/>
  <c r="H27" i="3" s="1"/>
  <c r="ET42" i="20"/>
  <c r="H21" i="4" s="1"/>
  <c r="H42" i="4" s="1"/>
  <c r="B18" i="21"/>
  <c r="B18" i="22"/>
  <c r="B18" i="24"/>
  <c r="D18" i="21"/>
  <c r="D18" i="24"/>
  <c r="D18" i="22"/>
  <c r="K71" i="28"/>
  <c r="K64" i="25"/>
  <c r="F11" i="22"/>
  <c r="H11" i="22" s="1"/>
  <c r="B14" i="22"/>
  <c r="C11" i="22"/>
  <c r="B70" i="28"/>
  <c r="O72" i="28" s="1"/>
  <c r="O73" i="28" s="1"/>
  <c r="Q42" i="20"/>
  <c r="H12" i="3" s="1"/>
  <c r="L71" i="28"/>
  <c r="L64" i="25"/>
  <c r="B19" i="21"/>
  <c r="B19" i="22"/>
  <c r="C18" i="21"/>
  <c r="C18" i="24"/>
  <c r="C18" i="22"/>
  <c r="E52" i="22"/>
  <c r="E18" i="21"/>
  <c r="E18" i="24"/>
  <c r="E18" i="22"/>
  <c r="C51" i="21"/>
  <c r="C14" i="22"/>
  <c r="C51" i="22" s="1"/>
  <c r="E17" i="21"/>
  <c r="E17" i="24"/>
  <c r="E17" i="22"/>
  <c r="C23" i="22"/>
  <c r="C69" i="22" s="1"/>
  <c r="B54" i="22"/>
  <c r="B53" i="22"/>
  <c r="D23" i="22"/>
  <c r="D69" i="22" s="1"/>
  <c r="E23" i="22"/>
  <c r="E69" i="22" s="1"/>
  <c r="Q41" i="20"/>
  <c r="G12" i="3" s="1"/>
  <c r="Q45" i="20"/>
  <c r="K12" i="3" s="1"/>
  <c r="J24" i="3"/>
  <c r="J27" i="3" s="1"/>
  <c r="D20" i="22"/>
  <c r="J34" i="4"/>
  <c r="J37" i="4" s="1"/>
  <c r="D52" i="22"/>
  <c r="F19" i="21"/>
  <c r="F19" i="22"/>
  <c r="F52" i="22"/>
  <c r="F12" i="22"/>
  <c r="B23" i="22"/>
  <c r="B53" i="24"/>
  <c r="E14" i="22"/>
  <c r="E51" i="22" s="1"/>
  <c r="B64" i="25"/>
  <c r="O65" i="25" s="1"/>
  <c r="O66" i="25" s="1"/>
  <c r="X44" i="20"/>
  <c r="J13" i="3" s="1"/>
  <c r="Q44" i="20"/>
  <c r="J12" i="3" s="1"/>
  <c r="G24" i="3"/>
  <c r="G27" i="3" s="1"/>
  <c r="B20" i="22"/>
  <c r="D17" i="21"/>
  <c r="D13" i="31" s="1"/>
  <c r="D17" i="22"/>
  <c r="B13" i="31" s="1"/>
  <c r="D17" i="24"/>
  <c r="C19" i="21"/>
  <c r="C19" i="22"/>
  <c r="K34" i="4"/>
  <c r="K35" i="4" s="1"/>
  <c r="K12" i="4"/>
  <c r="K13" i="4" s="1"/>
  <c r="M71" i="28"/>
  <c r="M64" i="25"/>
  <c r="N71" i="28"/>
  <c r="N64" i="25"/>
  <c r="F51" i="21"/>
  <c r="F14" i="22"/>
  <c r="F51" i="22" s="1"/>
  <c r="I37" i="4"/>
  <c r="I35" i="4"/>
  <c r="J33" i="3"/>
  <c r="E47" i="4"/>
  <c r="H33" i="3"/>
  <c r="I33" i="3"/>
  <c r="G12" i="4"/>
  <c r="G32" i="4"/>
  <c r="G33" i="3"/>
  <c r="K33" i="3"/>
  <c r="H32" i="4"/>
  <c r="H12" i="4"/>
  <c r="K18" i="4"/>
  <c r="C13" i="20"/>
  <c r="C21" i="20" s="1"/>
  <c r="C12" i="20"/>
  <c r="C20" i="20" s="1"/>
  <c r="C11" i="20"/>
  <c r="C19" i="20" s="1"/>
  <c r="F19" i="20" s="1"/>
  <c r="C10" i="20"/>
  <c r="C18" i="20" s="1"/>
  <c r="B23" i="20"/>
  <c r="B22" i="20"/>
  <c r="B29" i="20" s="1"/>
  <c r="E21" i="20"/>
  <c r="E20" i="20"/>
  <c r="E19" i="20"/>
  <c r="E18" i="20"/>
  <c r="C13" i="31" l="1"/>
  <c r="B69" i="22"/>
  <c r="B19" i="31"/>
  <c r="E11" i="21"/>
  <c r="E11" i="24"/>
  <c r="E53" i="24" s="1"/>
  <c r="K37" i="4"/>
  <c r="B15" i="31"/>
  <c r="J35" i="4"/>
  <c r="D15" i="31"/>
  <c r="K35" i="3"/>
  <c r="D11" i="21"/>
  <c r="D11" i="24"/>
  <c r="D11" i="22"/>
  <c r="G11" i="22" s="1"/>
  <c r="H35" i="3"/>
  <c r="F11" i="21"/>
  <c r="D7" i="31" s="1"/>
  <c r="F11" i="24"/>
  <c r="F54" i="24" s="1"/>
  <c r="J18" i="4"/>
  <c r="J19" i="4" s="1"/>
  <c r="B54" i="21"/>
  <c r="D16" i="31"/>
  <c r="B53" i="21"/>
  <c r="C20" i="24"/>
  <c r="C16" i="31" s="1"/>
  <c r="C20" i="21"/>
  <c r="E11" i="22"/>
  <c r="I12" i="4"/>
  <c r="B14" i="31"/>
  <c r="C14" i="31"/>
  <c r="D14" i="31"/>
  <c r="B51" i="22"/>
  <c r="B10" i="31"/>
  <c r="C10" i="31"/>
  <c r="D10" i="31"/>
  <c r="I35" i="3"/>
  <c r="G35" i="3"/>
  <c r="C20" i="22"/>
  <c r="B16" i="31" s="1"/>
  <c r="M65" i="25"/>
  <c r="M66" i="25" s="1"/>
  <c r="M75" i="25" s="1"/>
  <c r="M77" i="25" s="1"/>
  <c r="O82" i="28"/>
  <c r="O84" i="28" s="1"/>
  <c r="O111" i="28"/>
  <c r="O106" i="25"/>
  <c r="O75" i="25"/>
  <c r="O77" i="25" s="1"/>
  <c r="H34" i="4"/>
  <c r="H35" i="4" s="1"/>
  <c r="C10" i="22"/>
  <c r="N65" i="25"/>
  <c r="N66" i="25" s="1"/>
  <c r="G34" i="4"/>
  <c r="G35" i="4" s="1"/>
  <c r="B10" i="22"/>
  <c r="L72" i="28"/>
  <c r="L73" i="28" s="1"/>
  <c r="C53" i="24"/>
  <c r="C54" i="24"/>
  <c r="K65" i="25"/>
  <c r="K66" i="25" s="1"/>
  <c r="M72" i="28"/>
  <c r="M73" i="28" s="1"/>
  <c r="C54" i="21"/>
  <c r="C53" i="21"/>
  <c r="F54" i="22"/>
  <c r="F53" i="22"/>
  <c r="K72" i="28"/>
  <c r="K73" i="28"/>
  <c r="J35" i="3"/>
  <c r="N72" i="28"/>
  <c r="N73" i="28"/>
  <c r="F15" i="22"/>
  <c r="F13" i="22"/>
  <c r="L65" i="25"/>
  <c r="L66" i="25" s="1"/>
  <c r="C53" i="22"/>
  <c r="C54" i="22"/>
  <c r="F53" i="21"/>
  <c r="F54" i="21"/>
  <c r="G37" i="4"/>
  <c r="J43" i="4"/>
  <c r="J50" i="4" s="1"/>
  <c r="J38" i="4"/>
  <c r="H18" i="4"/>
  <c r="H13" i="4"/>
  <c r="G18" i="4"/>
  <c r="G13" i="4"/>
  <c r="K22" i="4"/>
  <c r="K24" i="4" s="1"/>
  <c r="K26" i="4" s="1"/>
  <c r="K19" i="4"/>
  <c r="H37" i="4"/>
  <c r="I38" i="4"/>
  <c r="I43" i="4"/>
  <c r="I50" i="4" s="1"/>
  <c r="K38" i="4"/>
  <c r="K43" i="4"/>
  <c r="K50" i="4" s="1"/>
  <c r="C23" i="20"/>
  <c r="C22" i="20"/>
  <c r="B26" i="20" s="1"/>
  <c r="F18" i="20"/>
  <c r="D18" i="20"/>
  <c r="F20" i="20"/>
  <c r="D20" i="20"/>
  <c r="F21" i="20"/>
  <c r="D21" i="20"/>
  <c r="D19" i="20"/>
  <c r="E22" i="20"/>
  <c r="E54" i="24" l="1"/>
  <c r="B7" i="31"/>
  <c r="J22" i="4"/>
  <c r="J24" i="4" s="1"/>
  <c r="J26" i="4" s="1"/>
  <c r="I13" i="4"/>
  <c r="I18" i="4"/>
  <c r="F53" i="24"/>
  <c r="G10" i="22"/>
  <c r="B6" i="31"/>
  <c r="H10" i="22"/>
  <c r="E12" i="22"/>
  <c r="E53" i="22"/>
  <c r="E54" i="22"/>
  <c r="D53" i="24"/>
  <c r="D54" i="24"/>
  <c r="E54" i="21"/>
  <c r="E53" i="21"/>
  <c r="C7" i="31"/>
  <c r="D12" i="22"/>
  <c r="D53" i="22"/>
  <c r="D55" i="22" s="1"/>
  <c r="D54" i="22"/>
  <c r="D53" i="21"/>
  <c r="D54" i="21"/>
  <c r="M106" i="25"/>
  <c r="D10" i="24" s="1"/>
  <c r="F55" i="22"/>
  <c r="L106" i="25"/>
  <c r="L75" i="25"/>
  <c r="L77" i="25" s="1"/>
  <c r="F21" i="22"/>
  <c r="F16" i="22"/>
  <c r="M111" i="28"/>
  <c r="M82" i="28"/>
  <c r="M84" i="28" s="1"/>
  <c r="B52" i="22"/>
  <c r="B55" i="22" s="1"/>
  <c r="B12" i="22"/>
  <c r="N75" i="25"/>
  <c r="N77" i="25" s="1"/>
  <c r="N106" i="25"/>
  <c r="L111" i="28"/>
  <c r="L82" i="28"/>
  <c r="L84" i="28" s="1"/>
  <c r="C52" i="22"/>
  <c r="C55" i="22" s="1"/>
  <c r="C12" i="22"/>
  <c r="F10" i="24"/>
  <c r="O110" i="25"/>
  <c r="N82" i="28"/>
  <c r="N84" i="28" s="1"/>
  <c r="N111" i="28"/>
  <c r="K111" i="28"/>
  <c r="K82" i="28"/>
  <c r="K84" i="28" s="1"/>
  <c r="K106" i="25"/>
  <c r="K75" i="25"/>
  <c r="K77" i="25" s="1"/>
  <c r="F10" i="21"/>
  <c r="O115" i="28"/>
  <c r="O117" i="28" s="1"/>
  <c r="O119" i="28" s="1"/>
  <c r="O125" i="28" s="1"/>
  <c r="O142" i="28" s="1"/>
  <c r="O144" i="28" s="1"/>
  <c r="J46" i="4"/>
  <c r="J47" i="4" s="1"/>
  <c r="J44" i="4"/>
  <c r="K44" i="4"/>
  <c r="K46" i="4"/>
  <c r="K47" i="4" s="1"/>
  <c r="G38" i="4"/>
  <c r="G43" i="4"/>
  <c r="G50" i="4" s="1"/>
  <c r="H22" i="4"/>
  <c r="H24" i="4" s="1"/>
  <c r="H19" i="4"/>
  <c r="I44" i="4"/>
  <c r="I46" i="4"/>
  <c r="H43" i="4"/>
  <c r="H50" i="4" s="1"/>
  <c r="H38" i="4"/>
  <c r="G22" i="4"/>
  <c r="G24" i="4" s="1"/>
  <c r="G19" i="4"/>
  <c r="D22" i="20"/>
  <c r="B25" i="20" s="1"/>
  <c r="C25" i="20" s="1"/>
  <c r="B28" i="20"/>
  <c r="C28" i="20" s="1"/>
  <c r="F22" i="20"/>
  <c r="F56" i="22" l="1"/>
  <c r="F73" i="22" s="1"/>
  <c r="B8" i="31"/>
  <c r="D15" i="22"/>
  <c r="D13" i="22"/>
  <c r="E55" i="22"/>
  <c r="E56" i="22" s="1"/>
  <c r="E73" i="22" s="1"/>
  <c r="I19" i="4"/>
  <c r="I22" i="4"/>
  <c r="I24" i="4" s="1"/>
  <c r="E15" i="22"/>
  <c r="E13" i="22"/>
  <c r="M110" i="25"/>
  <c r="M112" i="25" s="1"/>
  <c r="M114" i="25" s="1"/>
  <c r="M120" i="25" s="1"/>
  <c r="M137" i="25" s="1"/>
  <c r="M139" i="25" s="1"/>
  <c r="M173" i="25" s="1"/>
  <c r="C56" i="22"/>
  <c r="C73" i="22" s="1"/>
  <c r="D56" i="22"/>
  <c r="D73" i="22" s="1"/>
  <c r="J171" i="28"/>
  <c r="J174" i="28" s="1"/>
  <c r="O178" i="28" s="1"/>
  <c r="O151" i="28"/>
  <c r="O156" i="28" s="1"/>
  <c r="J190" i="28" s="1"/>
  <c r="J192" i="28" s="1"/>
  <c r="O196" i="28" s="1"/>
  <c r="E10" i="21"/>
  <c r="N115" i="28"/>
  <c r="N117" i="28" s="1"/>
  <c r="N119" i="28" s="1"/>
  <c r="N125" i="28" s="1"/>
  <c r="N142" i="28" s="1"/>
  <c r="N144" i="28" s="1"/>
  <c r="O112" i="25"/>
  <c r="O114" i="25" s="1"/>
  <c r="O120" i="25" s="1"/>
  <c r="O137" i="25" s="1"/>
  <c r="O139" i="25" s="1"/>
  <c r="E10" i="24"/>
  <c r="N110" i="25"/>
  <c r="N112" i="25" s="1"/>
  <c r="N114" i="25" s="1"/>
  <c r="N120" i="25" s="1"/>
  <c r="N137" i="25" s="1"/>
  <c r="N139" i="25" s="1"/>
  <c r="F12" i="21"/>
  <c r="F52" i="21"/>
  <c r="F55" i="21" s="1"/>
  <c r="B10" i="24"/>
  <c r="K110" i="25"/>
  <c r="K112" i="25" s="1"/>
  <c r="K114" i="25" s="1"/>
  <c r="K120" i="25" s="1"/>
  <c r="K137" i="25" s="1"/>
  <c r="K139" i="25" s="1"/>
  <c r="F52" i="24"/>
  <c r="F55" i="24" s="1"/>
  <c r="F12" i="24"/>
  <c r="C10" i="21"/>
  <c r="L115" i="28"/>
  <c r="L117" i="28" s="1"/>
  <c r="L119" i="28" s="1"/>
  <c r="L125" i="28" s="1"/>
  <c r="L142" i="28" s="1"/>
  <c r="L144" i="28" s="1"/>
  <c r="F68" i="22"/>
  <c r="F70" i="22" s="1"/>
  <c r="F22" i="22"/>
  <c r="F24" i="22"/>
  <c r="F25" i="22" s="1"/>
  <c r="C13" i="22"/>
  <c r="C15" i="22"/>
  <c r="B13" i="22"/>
  <c r="B15" i="22"/>
  <c r="D52" i="24"/>
  <c r="D55" i="24" s="1"/>
  <c r="D12" i="24"/>
  <c r="K115" i="28"/>
  <c r="K117" i="28" s="1"/>
  <c r="K119" i="28" s="1"/>
  <c r="K125" i="28" s="1"/>
  <c r="K142" i="28" s="1"/>
  <c r="K144" i="28" s="1"/>
  <c r="B10" i="21"/>
  <c r="D6" i="31" s="1"/>
  <c r="D10" i="21"/>
  <c r="M115" i="28"/>
  <c r="M117" i="28" s="1"/>
  <c r="M119" i="28" s="1"/>
  <c r="M125" i="28" s="1"/>
  <c r="M142" i="28" s="1"/>
  <c r="M144" i="28" s="1"/>
  <c r="C10" i="24"/>
  <c r="L110" i="25"/>
  <c r="L112" i="25" s="1"/>
  <c r="L114" i="25" s="1"/>
  <c r="L120" i="25" s="1"/>
  <c r="L137" i="25" s="1"/>
  <c r="L139" i="25" s="1"/>
  <c r="H46" i="4"/>
  <c r="H44" i="4"/>
  <c r="H25" i="4"/>
  <c r="H26" i="4"/>
  <c r="I47" i="4"/>
  <c r="G44" i="4"/>
  <c r="G46" i="4"/>
  <c r="G25" i="4"/>
  <c r="G26" i="4"/>
  <c r="B31" i="20"/>
  <c r="B37" i="20" s="1"/>
  <c r="B33" i="20"/>
  <c r="D37" i="20" s="1"/>
  <c r="M10" i="24" l="1"/>
  <c r="M14" i="24" s="1"/>
  <c r="M11" i="24"/>
  <c r="K11" i="24"/>
  <c r="K10" i="24"/>
  <c r="K14" i="24" s="1"/>
  <c r="I26" i="4"/>
  <c r="I25" i="4"/>
  <c r="E16" i="22"/>
  <c r="E21" i="22"/>
  <c r="F74" i="22"/>
  <c r="C6" i="31"/>
  <c r="C8" i="31" s="1"/>
  <c r="D21" i="22"/>
  <c r="D16" i="22"/>
  <c r="B9" i="31"/>
  <c r="B11" i="31"/>
  <c r="M146" i="25"/>
  <c r="M151" i="25" s="1"/>
  <c r="M191" i="25" s="1"/>
  <c r="O146" i="25"/>
  <c r="O151" i="25" s="1"/>
  <c r="J185" i="25" s="1"/>
  <c r="J187" i="25" s="1"/>
  <c r="O191" i="25" s="1"/>
  <c r="J166" i="25"/>
  <c r="J169" i="25" s="1"/>
  <c r="O173" i="25" s="1"/>
  <c r="M151" i="28"/>
  <c r="M156" i="28" s="1"/>
  <c r="M196" i="28" s="1"/>
  <c r="M178" i="28"/>
  <c r="F15" i="21"/>
  <c r="F13" i="21"/>
  <c r="D52" i="21"/>
  <c r="D55" i="21" s="1"/>
  <c r="D12" i="21"/>
  <c r="B52" i="21"/>
  <c r="B55" i="21" s="1"/>
  <c r="B12" i="21"/>
  <c r="B16" i="22"/>
  <c r="B21" i="22"/>
  <c r="G74" i="22"/>
  <c r="B22" i="31" s="1"/>
  <c r="B33" i="31" s="1"/>
  <c r="F76" i="22"/>
  <c r="L151" i="28"/>
  <c r="L156" i="28" s="1"/>
  <c r="L196" i="28" s="1"/>
  <c r="L178" i="28"/>
  <c r="K146" i="25"/>
  <c r="K151" i="25" s="1"/>
  <c r="K191" i="25" s="1"/>
  <c r="J197" i="25" s="1"/>
  <c r="K173" i="25"/>
  <c r="N173" i="25"/>
  <c r="N146" i="25"/>
  <c r="N151" i="25" s="1"/>
  <c r="N191" i="25" s="1"/>
  <c r="N151" i="28"/>
  <c r="N156" i="28" s="1"/>
  <c r="N196" i="28" s="1"/>
  <c r="N178" i="28"/>
  <c r="L173" i="25"/>
  <c r="L146" i="25"/>
  <c r="L151" i="25" s="1"/>
  <c r="L191" i="25" s="1"/>
  <c r="K151" i="28"/>
  <c r="K156" i="28" s="1"/>
  <c r="K196" i="28" s="1"/>
  <c r="K178" i="28"/>
  <c r="C52" i="21"/>
  <c r="C55" i="21" s="1"/>
  <c r="C12" i="21"/>
  <c r="B52" i="24"/>
  <c r="B55" i="24" s="1"/>
  <c r="B12" i="24"/>
  <c r="E12" i="24"/>
  <c r="E52" i="24"/>
  <c r="E55" i="24" s="1"/>
  <c r="E52" i="21"/>
  <c r="E55" i="21" s="1"/>
  <c r="F56" i="21" s="1"/>
  <c r="F73" i="21" s="1"/>
  <c r="E12" i="21"/>
  <c r="C12" i="24"/>
  <c r="C52" i="24"/>
  <c r="C55" i="24" s="1"/>
  <c r="D15" i="24"/>
  <c r="D13" i="24"/>
  <c r="C16" i="22"/>
  <c r="C21" i="22"/>
  <c r="F15" i="24"/>
  <c r="F13" i="24"/>
  <c r="G47" i="4"/>
  <c r="G48" i="4"/>
  <c r="H47" i="4"/>
  <c r="H48" i="4"/>
  <c r="G28" i="4"/>
  <c r="H28" i="4"/>
  <c r="C45" i="20"/>
  <c r="K10" i="3" s="1"/>
  <c r="K14" i="3" s="1"/>
  <c r="C41" i="20"/>
  <c r="G10" i="3" s="1"/>
  <c r="G14" i="3" s="1"/>
  <c r="C42" i="20"/>
  <c r="H10" i="3" s="1"/>
  <c r="H14" i="3" s="1"/>
  <c r="C43" i="20"/>
  <c r="I10" i="3" s="1"/>
  <c r="I14" i="3" s="1"/>
  <c r="C44" i="20"/>
  <c r="J10" i="3" s="1"/>
  <c r="J14" i="3" s="1"/>
  <c r="L10" i="24" l="1"/>
  <c r="L14" i="24" s="1"/>
  <c r="L11" i="24"/>
  <c r="K15" i="24"/>
  <c r="I11" i="24"/>
  <c r="I10" i="24"/>
  <c r="I14" i="24" s="1"/>
  <c r="J10" i="24"/>
  <c r="J14" i="24" s="1"/>
  <c r="J11" i="24"/>
  <c r="M15" i="24"/>
  <c r="D22" i="22"/>
  <c r="D24" i="22"/>
  <c r="D25" i="22" s="1"/>
  <c r="D68" i="22"/>
  <c r="D70" i="22" s="1"/>
  <c r="D74" i="22" s="1"/>
  <c r="D76" i="22" s="1"/>
  <c r="C9" i="31"/>
  <c r="C11" i="31"/>
  <c r="D8" i="31"/>
  <c r="E68" i="22"/>
  <c r="E70" i="22" s="1"/>
  <c r="E74" i="22" s="1"/>
  <c r="E76" i="22" s="1"/>
  <c r="E22" i="22"/>
  <c r="E24" i="22"/>
  <c r="E25" i="22" s="1"/>
  <c r="B17" i="31"/>
  <c r="B12" i="31"/>
  <c r="B28" i="31" s="1"/>
  <c r="I28" i="4"/>
  <c r="I48" i="4"/>
  <c r="G76" i="22"/>
  <c r="B23" i="31" s="1"/>
  <c r="B34" i="31" s="1"/>
  <c r="D56" i="21"/>
  <c r="D73" i="21" s="1"/>
  <c r="E15" i="21"/>
  <c r="E13" i="21"/>
  <c r="J184" i="28"/>
  <c r="J181" i="28"/>
  <c r="J185" i="28"/>
  <c r="J179" i="25"/>
  <c r="J180" i="25"/>
  <c r="F21" i="24"/>
  <c r="F23" i="24" s="1"/>
  <c r="F69" i="24" s="1"/>
  <c r="F16" i="24"/>
  <c r="D21" i="24"/>
  <c r="D23" i="24" s="1"/>
  <c r="D69" i="24" s="1"/>
  <c r="D16" i="24"/>
  <c r="E56" i="21"/>
  <c r="E73" i="21" s="1"/>
  <c r="J199" i="28"/>
  <c r="J203" i="28"/>
  <c r="J198" i="25"/>
  <c r="J194" i="25"/>
  <c r="C56" i="21"/>
  <c r="C73" i="21" s="1"/>
  <c r="F16" i="21"/>
  <c r="F21" i="21"/>
  <c r="F23" i="21" s="1"/>
  <c r="F69" i="21" s="1"/>
  <c r="J176" i="25"/>
  <c r="C15" i="24"/>
  <c r="C13" i="24"/>
  <c r="E13" i="24"/>
  <c r="E15" i="24"/>
  <c r="B15" i="24"/>
  <c r="B13" i="24"/>
  <c r="B15" i="21"/>
  <c r="B13" i="21"/>
  <c r="C68" i="22"/>
  <c r="C70" i="22" s="1"/>
  <c r="C74" i="22" s="1"/>
  <c r="C76" i="22" s="1"/>
  <c r="C22" i="22"/>
  <c r="C24" i="22"/>
  <c r="C25" i="22" s="1"/>
  <c r="C56" i="24"/>
  <c r="C73" i="24" s="1"/>
  <c r="F56" i="24"/>
  <c r="F73" i="24" s="1"/>
  <c r="E56" i="24"/>
  <c r="E73" i="24" s="1"/>
  <c r="C15" i="21"/>
  <c r="C13" i="21"/>
  <c r="B68" i="22"/>
  <c r="B70" i="22" s="1"/>
  <c r="B74" i="22" s="1"/>
  <c r="B76" i="22" s="1"/>
  <c r="B24" i="22"/>
  <c r="B25" i="22" s="1"/>
  <c r="B22" i="22"/>
  <c r="D15" i="21"/>
  <c r="D13" i="21"/>
  <c r="D56" i="24"/>
  <c r="D73" i="24" s="1"/>
  <c r="C45" i="4"/>
  <c r="A45" i="4"/>
  <c r="C42" i="4"/>
  <c r="A42" i="4"/>
  <c r="C41" i="4"/>
  <c r="A41" i="4"/>
  <c r="C40" i="4"/>
  <c r="A40" i="4"/>
  <c r="C39" i="4"/>
  <c r="A39" i="4"/>
  <c r="C36" i="4"/>
  <c r="C33" i="4"/>
  <c r="C34" i="4" s="1"/>
  <c r="K27" i="4"/>
  <c r="J27" i="4"/>
  <c r="C12" i="4"/>
  <c r="C18" i="4" s="1"/>
  <c r="C26" i="3"/>
  <c r="C24" i="3"/>
  <c r="C27" i="3" s="1"/>
  <c r="C35" i="3" s="1"/>
  <c r="C16" i="3"/>
  <c r="E15" i="3"/>
  <c r="D15" i="3"/>
  <c r="E14" i="3"/>
  <c r="D14" i="3"/>
  <c r="C14" i="3"/>
  <c r="I15" i="24" l="1"/>
  <c r="K12" i="24"/>
  <c r="K16" i="24" s="1"/>
  <c r="J12" i="24"/>
  <c r="J16" i="24" s="1"/>
  <c r="J15" i="24"/>
  <c r="L15" i="24"/>
  <c r="M12" i="24"/>
  <c r="M16" i="24" s="1"/>
  <c r="B18" i="31"/>
  <c r="B29" i="31" s="1"/>
  <c r="B20" i="31"/>
  <c r="B21" i="31" s="1"/>
  <c r="B30" i="31" s="1"/>
  <c r="C12" i="31"/>
  <c r="C28" i="31" s="1"/>
  <c r="C17" i="31"/>
  <c r="C18" i="31" s="1"/>
  <c r="C29" i="31" s="1"/>
  <c r="D9" i="31"/>
  <c r="D11" i="31"/>
  <c r="B78" i="22"/>
  <c r="B24" i="31" s="1"/>
  <c r="B35" i="31" s="1"/>
  <c r="D16" i="21"/>
  <c r="D21" i="21"/>
  <c r="D23" i="21" s="1"/>
  <c r="E16" i="24"/>
  <c r="E21" i="24"/>
  <c r="E23" i="24" s="1"/>
  <c r="E69" i="24" s="1"/>
  <c r="J177" i="25"/>
  <c r="J178" i="25"/>
  <c r="B16" i="24"/>
  <c r="B21" i="24"/>
  <c r="B23" i="24" s="1"/>
  <c r="I12" i="24" s="1"/>
  <c r="I16" i="24" s="1"/>
  <c r="C16" i="24"/>
  <c r="C21" i="24"/>
  <c r="C23" i="24" s="1"/>
  <c r="C69" i="24" s="1"/>
  <c r="D68" i="24"/>
  <c r="D70" i="24" s="1"/>
  <c r="D74" i="24" s="1"/>
  <c r="D76" i="24" s="1"/>
  <c r="D24" i="24"/>
  <c r="D25" i="24" s="1"/>
  <c r="D22" i="24"/>
  <c r="C16" i="21"/>
  <c r="C21" i="21"/>
  <c r="C23" i="21" s="1"/>
  <c r="C69" i="21" s="1"/>
  <c r="B16" i="21"/>
  <c r="B21" i="21"/>
  <c r="B23" i="21" s="1"/>
  <c r="B69" i="21" s="1"/>
  <c r="F24" i="21"/>
  <c r="F25" i="21" s="1"/>
  <c r="F68" i="21"/>
  <c r="F70" i="21" s="1"/>
  <c r="F74" i="21" s="1"/>
  <c r="F22" i="21"/>
  <c r="J195" i="25"/>
  <c r="J196" i="25"/>
  <c r="J200" i="28"/>
  <c r="J201" i="28"/>
  <c r="E16" i="21"/>
  <c r="E21" i="21"/>
  <c r="E23" i="21" s="1"/>
  <c r="E69" i="21" s="1"/>
  <c r="F22" i="24"/>
  <c r="F68" i="24"/>
  <c r="F70" i="24" s="1"/>
  <c r="F74" i="24" s="1"/>
  <c r="F24" i="24"/>
  <c r="F25" i="24" s="1"/>
  <c r="J182" i="28"/>
  <c r="J183" i="28"/>
  <c r="AE11" i="20"/>
  <c r="AE19" i="20" s="1"/>
  <c r="D16" i="3"/>
  <c r="D17" i="3" s="1"/>
  <c r="D36" i="3" s="1"/>
  <c r="C17" i="3"/>
  <c r="C36" i="3" s="1"/>
  <c r="E16" i="3"/>
  <c r="E17" i="3" s="1"/>
  <c r="E36" i="3" s="1"/>
  <c r="AE12" i="20"/>
  <c r="AE20" i="20" s="1"/>
  <c r="F17" i="3"/>
  <c r="F36" i="3" s="1"/>
  <c r="D24" i="4"/>
  <c r="D25" i="4" s="1"/>
  <c r="C22" i="4"/>
  <c r="C24" i="4" s="1"/>
  <c r="C25" i="4" s="1"/>
  <c r="C28" i="4" s="1"/>
  <c r="C19" i="4"/>
  <c r="E24" i="4"/>
  <c r="E25" i="4" s="1"/>
  <c r="F24" i="4"/>
  <c r="C37" i="4"/>
  <c r="C35" i="4"/>
  <c r="C13" i="4"/>
  <c r="L12" i="24" l="1"/>
  <c r="L16" i="24" s="1"/>
  <c r="D12" i="31"/>
  <c r="D28" i="31" s="1"/>
  <c r="D17" i="31"/>
  <c r="D18" i="31" s="1"/>
  <c r="D29" i="31" s="1"/>
  <c r="D19" i="31"/>
  <c r="D69" i="21"/>
  <c r="C19" i="31"/>
  <c r="C20" i="31" s="1"/>
  <c r="C21" i="31" s="1"/>
  <c r="C30" i="31" s="1"/>
  <c r="B69" i="24"/>
  <c r="G74" i="24"/>
  <c r="F76" i="24"/>
  <c r="B68" i="24"/>
  <c r="B24" i="24"/>
  <c r="B25" i="24" s="1"/>
  <c r="B22" i="24"/>
  <c r="E68" i="24"/>
  <c r="E70" i="24" s="1"/>
  <c r="E74" i="24" s="1"/>
  <c r="E76" i="24" s="1"/>
  <c r="E24" i="24"/>
  <c r="E25" i="24" s="1"/>
  <c r="E22" i="24"/>
  <c r="F76" i="21"/>
  <c r="G74" i="21"/>
  <c r="C68" i="21"/>
  <c r="C70" i="21" s="1"/>
  <c r="C74" i="21" s="1"/>
  <c r="C76" i="21" s="1"/>
  <c r="C24" i="21"/>
  <c r="C25" i="21" s="1"/>
  <c r="C22" i="21"/>
  <c r="E68" i="21"/>
  <c r="E70" i="21" s="1"/>
  <c r="E74" i="21" s="1"/>
  <c r="E76" i="21" s="1"/>
  <c r="E22" i="21"/>
  <c r="E24" i="21"/>
  <c r="E25" i="21" s="1"/>
  <c r="C22" i="24"/>
  <c r="C68" i="24"/>
  <c r="C70" i="24" s="1"/>
  <c r="C74" i="24" s="1"/>
  <c r="C76" i="24" s="1"/>
  <c r="C24" i="24"/>
  <c r="C25" i="24" s="1"/>
  <c r="D24" i="21"/>
  <c r="D25" i="21" s="1"/>
  <c r="D68" i="21"/>
  <c r="D22" i="21"/>
  <c r="B68" i="21"/>
  <c r="B70" i="21" s="1"/>
  <c r="B74" i="21" s="1"/>
  <c r="B76" i="21" s="1"/>
  <c r="B22" i="21"/>
  <c r="B24" i="21"/>
  <c r="B25" i="21" s="1"/>
  <c r="F25" i="4"/>
  <c r="F26" i="4"/>
  <c r="D28" i="4"/>
  <c r="D48" i="4"/>
  <c r="AF19" i="20"/>
  <c r="AE23" i="20"/>
  <c r="AH19" i="20"/>
  <c r="AE22" i="20"/>
  <c r="AD26" i="20" s="1"/>
  <c r="E48" i="4"/>
  <c r="AF20" i="20"/>
  <c r="AH20" i="20"/>
  <c r="K25" i="4"/>
  <c r="E26" i="4"/>
  <c r="E28" i="4" s="1"/>
  <c r="C43" i="4"/>
  <c r="C38" i="4"/>
  <c r="D20" i="31" l="1"/>
  <c r="D21" i="31" s="1"/>
  <c r="D30" i="31" s="1"/>
  <c r="D70" i="21"/>
  <c r="D74" i="21" s="1"/>
  <c r="D76" i="21" s="1"/>
  <c r="G76" i="21"/>
  <c r="D23" i="31" s="1"/>
  <c r="D34" i="31" s="1"/>
  <c r="D22" i="31"/>
  <c r="D33" i="31" s="1"/>
  <c r="B70" i="24"/>
  <c r="B74" i="24" s="1"/>
  <c r="B76" i="24" s="1"/>
  <c r="G76" i="24"/>
  <c r="C23" i="31" s="1"/>
  <c r="C34" i="31" s="1"/>
  <c r="C22" i="31"/>
  <c r="C33" i="31" s="1"/>
  <c r="AH22" i="20"/>
  <c r="AF22" i="20"/>
  <c r="AD25" i="20" s="1"/>
  <c r="AE25" i="20" s="1"/>
  <c r="AD31" i="20" s="1"/>
  <c r="AD37" i="20" s="1"/>
  <c r="F28" i="4"/>
  <c r="F48" i="4"/>
  <c r="K28" i="4"/>
  <c r="K48" i="4"/>
  <c r="C44" i="4"/>
  <c r="C46" i="4"/>
  <c r="J25" i="4"/>
  <c r="B78" i="21" l="1"/>
  <c r="D24" i="31" s="1"/>
  <c r="D35" i="31" s="1"/>
  <c r="B78" i="24"/>
  <c r="C24" i="31" s="1"/>
  <c r="C35" i="31" s="1"/>
  <c r="AD33" i="20"/>
  <c r="AF37" i="20" s="1"/>
  <c r="AE45" i="20" s="1"/>
  <c r="K15" i="3" s="1"/>
  <c r="K16" i="3" s="1"/>
  <c r="K17" i="3" s="1"/>
  <c r="K36" i="3" s="1"/>
  <c r="J28" i="4"/>
  <c r="J48" i="4"/>
  <c r="C48" i="4"/>
  <c r="C47" i="4"/>
  <c r="AE43" i="20" l="1"/>
  <c r="I15" i="3" s="1"/>
  <c r="I16" i="3" s="1"/>
  <c r="I17" i="3" s="1"/>
  <c r="I36" i="3" s="1"/>
  <c r="AE41" i="20"/>
  <c r="G15" i="3" s="1"/>
  <c r="G16" i="3" s="1"/>
  <c r="G17" i="3" s="1"/>
  <c r="G36" i="3" s="1"/>
  <c r="AE42" i="20"/>
  <c r="H15" i="3" s="1"/>
  <c r="H16" i="3" s="1"/>
  <c r="H17" i="3" s="1"/>
  <c r="H36" i="3" s="1"/>
  <c r="AE44" i="20"/>
  <c r="J15" i="3" s="1"/>
  <c r="J16" i="3" s="1"/>
  <c r="J17" i="3" s="1"/>
  <c r="J36" i="3" s="1"/>
</calcChain>
</file>

<file path=xl/sharedStrings.xml><?xml version="1.0" encoding="utf-8"?>
<sst xmlns="http://schemas.openxmlformats.org/spreadsheetml/2006/main" count="1282" uniqueCount="368">
  <si>
    <t>PASADO</t>
  </si>
  <si>
    <t>VALORES EXPRESADOS EN MILES DE MILLONES</t>
  </si>
  <si>
    <t>ACTIVOS</t>
  </si>
  <si>
    <t>EFECTIVO Y EQUIVALENTE A EFECTIVO</t>
  </si>
  <si>
    <t>DEUDORES COMERC Y OTRAS CUENTAS</t>
  </si>
  <si>
    <t>INGRESOS</t>
  </si>
  <si>
    <t>ACTIVOS POR IMPUESTOS CORRIENTES</t>
  </si>
  <si>
    <t>INGRESOS DE ACTIVIDADES ORDINARIAS</t>
  </si>
  <si>
    <t>OTROS ACTIVOS NO FINANC CORRIENTE</t>
  </si>
  <si>
    <t>(-) COSTOS OPERACIONALES</t>
  </si>
  <si>
    <t>TOTAL ACTIVO CORRIENTE</t>
  </si>
  <si>
    <t>MARGEN BRUTO</t>
  </si>
  <si>
    <t>PROPIEDAD PLANTA Y EQUIPO</t>
  </si>
  <si>
    <t>(+) OTROS INGRESOS</t>
  </si>
  <si>
    <t>TOTAL ACTIVOS NO CORRIENTES</t>
  </si>
  <si>
    <t xml:space="preserve">(-) GASTOS DE ADMINISTRACION </t>
  </si>
  <si>
    <t>TOTAL ACTIVO</t>
  </si>
  <si>
    <t>(-) OTROS GASTOS</t>
  </si>
  <si>
    <t>PASIVOS</t>
  </si>
  <si>
    <t>MARGEN OPERACIONAL</t>
  </si>
  <si>
    <t xml:space="preserve">PROVISIONES POR BENEFICIOS A LOS EMPLEADOS </t>
  </si>
  <si>
    <t xml:space="preserve">INGRESOS FINANCIEROS </t>
  </si>
  <si>
    <t>ACREEDORES COMERCIALES Y OTRAS</t>
  </si>
  <si>
    <t xml:space="preserve">GASTOS FINANCIEROS </t>
  </si>
  <si>
    <t>PASIVOS POR IMPUESTOS CORRIENTES</t>
  </si>
  <si>
    <t xml:space="preserve">GANANCIA (PERDIDA) ANTES DE IMPUESTOS </t>
  </si>
  <si>
    <t>PASIVOS NO FINANC CORRIENTES</t>
  </si>
  <si>
    <t>IMPUESTO A LAS GANANCIAS</t>
  </si>
  <si>
    <t>TOTAL PASIVO CORRIENTE</t>
  </si>
  <si>
    <t>RESULTADO DEL PERIODO</t>
  </si>
  <si>
    <t>OTROS PASIVOS NO CORRIENTES</t>
  </si>
  <si>
    <t>RESULTADO INTEGRAL TOTAL</t>
  </si>
  <si>
    <t>TOTAL PASIVOS NO CORRIENTES</t>
  </si>
  <si>
    <t>TOTAL PASIVOS</t>
  </si>
  <si>
    <t>PATRIMONIO</t>
  </si>
  <si>
    <t>CAPITAL</t>
  </si>
  <si>
    <t xml:space="preserve">RESERVA LEGAL </t>
  </si>
  <si>
    <t>PERDIDAS ACUMULADAS</t>
  </si>
  <si>
    <t xml:space="preserve">GANANCIAS  DEL PERIODO </t>
  </si>
  <si>
    <t>TOTAL PATRIMONIO</t>
  </si>
  <si>
    <t>CAVCA LTDA</t>
  </si>
  <si>
    <t xml:space="preserve">PROYECCION ESTADO DE SITUACION FINANCIERA </t>
  </si>
  <si>
    <t>PROYECCION</t>
  </si>
  <si>
    <t>OBLIGACIONES LABORALES CORRIENTES</t>
  </si>
  <si>
    <t>PASIVO MAS PATRIMONIO</t>
  </si>
  <si>
    <t>CHECK POINT</t>
  </si>
  <si>
    <t xml:space="preserve">PROYECCION ESTADO DE RESULTADOS INTEGRAL </t>
  </si>
  <si>
    <t xml:space="preserve">% MARGEN BRUTO </t>
  </si>
  <si>
    <t xml:space="preserve">% MARGEN OPERACIONAL </t>
  </si>
  <si>
    <t>(+/-) GANANCIAS ACUMULADAS DEL PERIODO</t>
  </si>
  <si>
    <t>DIVIDENDOS DECLARADOS Y PAGADOS</t>
  </si>
  <si>
    <t>RESULTADO ACUMULADO</t>
  </si>
  <si>
    <t>CALCULO EBITDA, EBIT Y E</t>
  </si>
  <si>
    <t xml:space="preserve">MARGEN BRUTO </t>
  </si>
  <si>
    <t>MARGEN BRUTO %</t>
  </si>
  <si>
    <t>(-) GASTOS ADMINISTRATIVOS</t>
  </si>
  <si>
    <t>EBITDA $</t>
  </si>
  <si>
    <t>EBITDA %</t>
  </si>
  <si>
    <t>EBIT $</t>
  </si>
  <si>
    <t>EBIT %</t>
  </si>
  <si>
    <t>E $</t>
  </si>
  <si>
    <t>E %</t>
  </si>
  <si>
    <t xml:space="preserve">Modelos Econometricos </t>
  </si>
  <si>
    <t xml:space="preserve">Año </t>
  </si>
  <si>
    <t xml:space="preserve">Periodo </t>
  </si>
  <si>
    <t xml:space="preserve">Metodo minimos cuadrados </t>
  </si>
  <si>
    <t>X</t>
  </si>
  <si>
    <t>Y/Ventas</t>
  </si>
  <si>
    <t xml:space="preserve">XY </t>
  </si>
  <si>
    <t>X^2</t>
  </si>
  <si>
    <t>Y^100</t>
  </si>
  <si>
    <t>Sumas</t>
  </si>
  <si>
    <t>Promedio</t>
  </si>
  <si>
    <t>b=</t>
  </si>
  <si>
    <t>a=</t>
  </si>
  <si>
    <t>La ecuacion queda de la sigueinte forma</t>
  </si>
  <si>
    <t xml:space="preserve">Y= </t>
  </si>
  <si>
    <t>x</t>
  </si>
  <si>
    <t xml:space="preserve">Proyeccion </t>
  </si>
  <si>
    <t>OTROS INGRESOS</t>
  </si>
  <si>
    <t xml:space="preserve"> GASTOS DE ADMINISTRACION </t>
  </si>
  <si>
    <t xml:space="preserve"> OTROS GASTOS</t>
  </si>
  <si>
    <t xml:space="preserve">VALORACIÓN DE EMPRESA SIN ESTRATEGIA </t>
  </si>
  <si>
    <t xml:space="preserve">ESTADOS DE RESULTADOS </t>
  </si>
  <si>
    <t xml:space="preserve">Ingresos </t>
  </si>
  <si>
    <t xml:space="preserve">Costos directos </t>
  </si>
  <si>
    <t xml:space="preserve">Margen bruto </t>
  </si>
  <si>
    <t>%</t>
  </si>
  <si>
    <t>Gastos de Administracion</t>
  </si>
  <si>
    <t>EBITDA</t>
  </si>
  <si>
    <t xml:space="preserve">(+) Otros Ingresos </t>
  </si>
  <si>
    <t xml:space="preserve">(-) Otros Gastos </t>
  </si>
  <si>
    <t xml:space="preserve">Ingresos Financieros </t>
  </si>
  <si>
    <t>Gastos Financieros</t>
  </si>
  <si>
    <t xml:space="preserve">EBIT </t>
  </si>
  <si>
    <t xml:space="preserve">Taxes </t>
  </si>
  <si>
    <t>E</t>
  </si>
  <si>
    <t>E%</t>
  </si>
  <si>
    <t xml:space="preserve">DEPRECIACIONES Y AMORTIZACIONES </t>
  </si>
  <si>
    <t xml:space="preserve">Años de depreciación </t>
  </si>
  <si>
    <t xml:space="preserve">CAPEX </t>
  </si>
  <si>
    <t xml:space="preserve">Inversiones de capex </t>
  </si>
  <si>
    <t>Años posteriores</t>
  </si>
  <si>
    <t>Depreciación Año 1</t>
  </si>
  <si>
    <t>Depreciación Año 2</t>
  </si>
  <si>
    <t>Depreciación Año 3</t>
  </si>
  <si>
    <t>Depreciación Año 4</t>
  </si>
  <si>
    <t>Depreciación Año 5</t>
  </si>
  <si>
    <t xml:space="preserve">TOTAL DEPRESIACION </t>
  </si>
  <si>
    <t xml:space="preserve">CAPITAL DE TRABAJO </t>
  </si>
  <si>
    <t xml:space="preserve">Dias año </t>
  </si>
  <si>
    <t xml:space="preserve">Dias de gasto efectivo </t>
  </si>
  <si>
    <t>Dias de cartera</t>
  </si>
  <si>
    <t xml:space="preserve">Inventario </t>
  </si>
  <si>
    <t>(+)Efectivo (30 d gastos )</t>
  </si>
  <si>
    <t xml:space="preserve">(+)cuentas por cobrar </t>
  </si>
  <si>
    <t xml:space="preserve">(+) Inventario </t>
  </si>
  <si>
    <t>(-) CXP Proveedores</t>
  </si>
  <si>
    <t xml:space="preserve">Total capital de trabajo </t>
  </si>
  <si>
    <t xml:space="preserve">Inversion Capital de Trabajo </t>
  </si>
  <si>
    <t xml:space="preserve">VALORACIÓN DE FLUJO DE CAJA </t>
  </si>
  <si>
    <t xml:space="preserve">Costo de capital </t>
  </si>
  <si>
    <t xml:space="preserve">Tasa de crecimiento de la empresa </t>
  </si>
  <si>
    <t xml:space="preserve">Inflación </t>
  </si>
  <si>
    <t xml:space="preserve">Valoración de la Empresa </t>
  </si>
  <si>
    <t>EBIT</t>
  </si>
  <si>
    <t xml:space="preserve">TAXES sobre EBIT </t>
  </si>
  <si>
    <t>EBIT - TAXES</t>
  </si>
  <si>
    <t>(+) Depreciaciones</t>
  </si>
  <si>
    <t>(-) Inversiones</t>
  </si>
  <si>
    <t xml:space="preserve">(-) Inversiones en Working Capital </t>
  </si>
  <si>
    <t xml:space="preserve">FLUJO DE CAJA LIBRE </t>
  </si>
  <si>
    <t>Valor Terminal del FC</t>
  </si>
  <si>
    <t>Factor del descuento  (Tasa fcl WACC)</t>
  </si>
  <si>
    <t>VALOR PRESENTE NETO DEL FCL</t>
  </si>
  <si>
    <t>VALORACIÓN DE LA EMPRESA</t>
  </si>
  <si>
    <t>CICLO DE CONVERSION DE EFECTIVO</t>
  </si>
  <si>
    <t>Millones (COP)  Anual</t>
  </si>
  <si>
    <t xml:space="preserve">Ventas anuales </t>
  </si>
  <si>
    <t xml:space="preserve">Costo de Ventas </t>
  </si>
  <si>
    <t>Periodo de cobranza (dias)</t>
  </si>
  <si>
    <t>Rotacion de cxc</t>
  </si>
  <si>
    <t xml:space="preserve">Ciclo de conversion operativo </t>
  </si>
  <si>
    <t xml:space="preserve">Periodo de aplazamieto de cxp </t>
  </si>
  <si>
    <t xml:space="preserve">Rotacion de proveedores </t>
  </si>
  <si>
    <t xml:space="preserve">Clico de conversion de efectivo </t>
  </si>
  <si>
    <t xml:space="preserve">Cuentas por cobrar </t>
  </si>
  <si>
    <t xml:space="preserve">Cuentas por pagar </t>
  </si>
  <si>
    <t>Capital de trabajo neto operación (CTNO)</t>
  </si>
  <si>
    <t xml:space="preserve">CLIENTES </t>
  </si>
  <si>
    <t>PROVEEDORES</t>
  </si>
  <si>
    <t>WACC</t>
  </si>
  <si>
    <t>VALORACIÓN DE EMPRESA CON ESTRATEGIA # 1</t>
  </si>
  <si>
    <t xml:space="preserve">TOTAL DEPRECIACION </t>
  </si>
  <si>
    <t xml:space="preserve">Valoracion de la Empresa </t>
  </si>
  <si>
    <t>CXP Proveedores (24 días)</t>
  </si>
  <si>
    <t>(+)Efectivo</t>
  </si>
  <si>
    <t xml:space="preserve">CONCEPTO </t>
  </si>
  <si>
    <t xml:space="preserve">MES </t>
  </si>
  <si>
    <t xml:space="preserve">AÑO </t>
  </si>
  <si>
    <t xml:space="preserve">ACUMULADO 5 AÑOS </t>
  </si>
  <si>
    <t xml:space="preserve">PROPIEDAD TERRENOS </t>
  </si>
  <si>
    <t xml:space="preserve">Edificio </t>
  </si>
  <si>
    <t>MUEBLES Y ENSERES</t>
  </si>
  <si>
    <t>Muebles y Enseres</t>
  </si>
  <si>
    <t xml:space="preserve">NÓMINA </t>
  </si>
  <si>
    <t xml:space="preserve">20 Comerciales </t>
  </si>
  <si>
    <t>SOFWARE Y HADWARE</t>
  </si>
  <si>
    <t xml:space="preserve">INVERSIÓN FINAL </t>
  </si>
  <si>
    <t>ENTRADA</t>
  </si>
  <si>
    <t>DEPRECIACIONES</t>
  </si>
  <si>
    <t xml:space="preserve">Item </t>
  </si>
  <si>
    <t xml:space="preserve">MONTO </t>
  </si>
  <si>
    <t>SALVAMENTO %</t>
  </si>
  <si>
    <t>SALVAMENTO $</t>
  </si>
  <si>
    <t xml:space="preserve">VIDA UTIL </t>
  </si>
  <si>
    <t xml:space="preserve">Edficios </t>
  </si>
  <si>
    <t xml:space="preserve">Edificios </t>
  </si>
  <si>
    <t xml:space="preserve">Muebles y Enseres </t>
  </si>
  <si>
    <t xml:space="preserve">Sofware y Hadware </t>
  </si>
  <si>
    <t>DEPRECIACION TOTAL</t>
  </si>
  <si>
    <t xml:space="preserve">Total depreciación </t>
  </si>
  <si>
    <t xml:space="preserve">CAPITAL </t>
  </si>
  <si>
    <t xml:space="preserve">CREDITOS CON CUOTAS FIJAS </t>
  </si>
  <si>
    <t>AÑO 0</t>
  </si>
  <si>
    <t>AÑO 1</t>
  </si>
  <si>
    <t>AÑO 2</t>
  </si>
  <si>
    <t>AÑO 3</t>
  </si>
  <si>
    <t>AÑO 4</t>
  </si>
  <si>
    <t>AÑO 5</t>
  </si>
  <si>
    <t>$ Credito</t>
  </si>
  <si>
    <t xml:space="preserve">Saldo </t>
  </si>
  <si>
    <t xml:space="preserve"># Cuotas </t>
  </si>
  <si>
    <t>Interes</t>
  </si>
  <si>
    <t>Tasa interes</t>
  </si>
  <si>
    <t>Cuota</t>
  </si>
  <si>
    <t xml:space="preserve">CUOTA </t>
  </si>
  <si>
    <t xml:space="preserve">Capital </t>
  </si>
  <si>
    <t>Interés</t>
  </si>
  <si>
    <t>Tasa interés</t>
  </si>
  <si>
    <t xml:space="preserve">Gastos Financieros </t>
  </si>
  <si>
    <t>PROYECCIÓN DE VENTAS</t>
  </si>
  <si>
    <t xml:space="preserve">Incremento en ventas </t>
  </si>
  <si>
    <t>Proyección ventas PYG</t>
  </si>
  <si>
    <t>crecimiento costo variable</t>
  </si>
  <si>
    <t>crecimiento costo fijo</t>
  </si>
  <si>
    <t xml:space="preserve">PROYECCIÓN DE COSTOS </t>
  </si>
  <si>
    <t xml:space="preserve">COSTOS VARIABLES </t>
  </si>
  <si>
    <t>VENTAS</t>
  </si>
  <si>
    <t xml:space="preserve">ITEM </t>
  </si>
  <si>
    <t xml:space="preserve">COSTO MENSUAL </t>
  </si>
  <si>
    <t>MESES</t>
  </si>
  <si>
    <t>% PARTICIPACIÓN</t>
  </si>
  <si>
    <t>Costos variables</t>
  </si>
  <si>
    <t xml:space="preserve">Total costos variables </t>
  </si>
  <si>
    <t xml:space="preserve">VALOR ANUAL </t>
  </si>
  <si>
    <t xml:space="preserve">COSTOS FIJOS </t>
  </si>
  <si>
    <t>Costos fijos</t>
  </si>
  <si>
    <t>20 Comerciales</t>
  </si>
  <si>
    <t xml:space="preserve">Total Costos </t>
  </si>
  <si>
    <t>Total Costos Fijos</t>
  </si>
  <si>
    <t xml:space="preserve">INVERSIÓN DE CAPITAL DE TRABAJO </t>
  </si>
  <si>
    <t xml:space="preserve">Necesidad de Capital </t>
  </si>
  <si>
    <t xml:space="preserve">Inversión capital </t>
  </si>
  <si>
    <t xml:space="preserve">Capital de trabajo </t>
  </si>
  <si>
    <t xml:space="preserve">FLUJO DE CAJA OPERATIVO </t>
  </si>
  <si>
    <t>Impuesto de renta</t>
  </si>
  <si>
    <t>Ventas</t>
  </si>
  <si>
    <t>Tasa de Oportunidad Inversionista</t>
  </si>
  <si>
    <t>Costo Total</t>
  </si>
  <si>
    <t>Crecimiento flujos perpetuidad</t>
  </si>
  <si>
    <t xml:space="preserve">Depreciación </t>
  </si>
  <si>
    <t xml:space="preserve">Utilidad antes de Impuestos </t>
  </si>
  <si>
    <t>Provisión TX</t>
  </si>
  <si>
    <t xml:space="preserve">Utilidad Neta </t>
  </si>
  <si>
    <t xml:space="preserve">Amortización </t>
  </si>
  <si>
    <t xml:space="preserve">Flujo de caja Operativo </t>
  </si>
  <si>
    <t>FLUJO NETO DE INVERSIÓN</t>
  </si>
  <si>
    <t xml:space="preserve">Inversión fija </t>
  </si>
  <si>
    <t>Inversión capital W</t>
  </si>
  <si>
    <t xml:space="preserve">Prestamos </t>
  </si>
  <si>
    <t>Inversión Neta</t>
  </si>
  <si>
    <t>FLUJO DE CAJA DEL ACCIONISTA</t>
  </si>
  <si>
    <t xml:space="preserve">Flujo de caja de Inversión </t>
  </si>
  <si>
    <t>FLUJO DE CAJA LIBRE</t>
  </si>
  <si>
    <t>Flujo de caja del accionista</t>
  </si>
  <si>
    <t>Amortización</t>
  </si>
  <si>
    <t xml:space="preserve">Ahorro de Impuesto </t>
  </si>
  <si>
    <t xml:space="preserve">COSTO DE CAPITAL </t>
  </si>
  <si>
    <t xml:space="preserve">Fuentes </t>
  </si>
  <si>
    <t xml:space="preserve">Monto </t>
  </si>
  <si>
    <t>Wi</t>
  </si>
  <si>
    <t>Ci</t>
  </si>
  <si>
    <t>WixCi</t>
  </si>
  <si>
    <t>Aportes</t>
  </si>
  <si>
    <t>Deuda</t>
  </si>
  <si>
    <t xml:space="preserve">Total </t>
  </si>
  <si>
    <t xml:space="preserve">VALOR RESIDUAL </t>
  </si>
  <si>
    <t>CON PERPETUIDAD</t>
  </si>
  <si>
    <t>FCA</t>
  </si>
  <si>
    <t>Valor de continuidad</t>
  </si>
  <si>
    <t xml:space="preserve">Recuperación Capital </t>
  </si>
  <si>
    <t>Deudas</t>
  </si>
  <si>
    <t>se toma ultimo flujo del accionista</t>
  </si>
  <si>
    <t xml:space="preserve">multiplicado x crecimiento </t>
  </si>
  <si>
    <t xml:space="preserve">FLUJO CON VALOR RESIDUAL </t>
  </si>
  <si>
    <t>Tasa oportunidad accionistas</t>
  </si>
  <si>
    <t>VPN</t>
  </si>
  <si>
    <t>CAUE</t>
  </si>
  <si>
    <t>B/C</t>
  </si>
  <si>
    <t>TIR</t>
  </si>
  <si>
    <t>TIRM</t>
  </si>
  <si>
    <t>FCL</t>
  </si>
  <si>
    <t xml:space="preserve">CRÉDITOS CON CUOTAS FIJAS </t>
  </si>
  <si>
    <t>Incremento 20%</t>
  </si>
  <si>
    <t xml:space="preserve">campañas pautas facebook, instagram, linkedin, google, youtube </t>
  </si>
  <si>
    <t xml:space="preserve">hosting y dominios </t>
  </si>
  <si>
    <t>accesos con pago a stock(contenido en linea)</t>
  </si>
  <si>
    <t xml:space="preserve">Campañas pautas facebook, instagram, linkedin, google, youtube </t>
  </si>
  <si>
    <t xml:space="preserve">Hosting y dominios </t>
  </si>
  <si>
    <t>Accesos con pago a stock(contenido en linea)</t>
  </si>
  <si>
    <t>Crecimiento costo variable</t>
  </si>
  <si>
    <t>Crecimiento costo fijo</t>
  </si>
  <si>
    <t xml:space="preserve">Titulo de la estrategia </t>
  </si>
  <si>
    <t>Plan estrategico para crecimiento de ventas para el año 2025 de CAVCA Ltda</t>
  </si>
  <si>
    <t>Presupuesto e impacto de la estrategia</t>
  </si>
  <si>
    <t>a. Por medio de la elaboracion y analisis de un modelo financiero proyectado con la generacion de valor a 5 años, con el fin de medir los resultados financieros obtenidos con la estrategia planteada.</t>
  </si>
  <si>
    <t xml:space="preserve">b. Analisis de la matriz DOFA de la compañía Cavca Ltda </t>
  </si>
  <si>
    <t>c. Especializacion en productos personalizados dando solucion a las necesidades de los problemas de cada cliente</t>
  </si>
  <si>
    <t xml:space="preserve">d. Transformar lacompra de los clientes en inversiones, resaltando los beneficios y el valor de la compra </t>
  </si>
  <si>
    <t>e. Hacer uso de las nuevas tecnologias (Uso y desarrollo de APPS, inteligencia artificial, big data, redes sociales) como plataformas para mejorar la atencion al cliente y la experiencia del usuario con la marca.</t>
  </si>
  <si>
    <t>f. Ofrecer servicios adicionales (area especializada para asegurabilidad de autos, departamento especializado en siniestros, asesoramiento para la optimizacion del uso de la poliza de parte del cliente cuando se presenta un siniestro)</t>
  </si>
  <si>
    <t>g. Venta virtual y telefonica, supernando la barrera fisica con el cliente.</t>
  </si>
  <si>
    <t>VALORACIÓN DE EMPRESA CON ESTRATEGIA # 2</t>
  </si>
  <si>
    <t>MANO DE OBRA (NÓMINA)</t>
  </si>
  <si>
    <t>1 director</t>
  </si>
  <si>
    <t xml:space="preserve">Herramientas Marketing </t>
  </si>
  <si>
    <t>Hardware y Sofware</t>
  </si>
  <si>
    <t xml:space="preserve">Equipo diseño grafico </t>
  </si>
  <si>
    <t xml:space="preserve">licencias software </t>
  </si>
  <si>
    <t xml:space="preserve">equipo de video y fotografia </t>
  </si>
  <si>
    <t xml:space="preserve">equipo de edición de video </t>
  </si>
  <si>
    <t xml:space="preserve">Equipo diseño gráfico </t>
  </si>
  <si>
    <t>Licencias software</t>
  </si>
  <si>
    <t>Equipo de video y fotografía</t>
  </si>
  <si>
    <t xml:space="preserve">Equipo de edición de video </t>
  </si>
  <si>
    <t xml:space="preserve">Crecimiento ventas </t>
  </si>
  <si>
    <t xml:space="preserve">PROYECCION DE COSTOS </t>
  </si>
  <si>
    <t xml:space="preserve">Posicionamiento y reconocimiento en el mercado de corredores de seguros a nivel nacional </t>
  </si>
  <si>
    <t>a. Identificando el mejor atributo de nuestro producto</t>
  </si>
  <si>
    <t xml:space="preserve">b. Conocer la posicion de los competidores con relacion a este atributo </t>
  </si>
  <si>
    <t xml:space="preserve">c. Decidir nuestra estregia en funsion en las ventajas competitivas </t>
  </si>
  <si>
    <t xml:space="preserve">d. Comunicar el posicionamiento al mercado a travez de la publicidad </t>
  </si>
  <si>
    <t>e.Realizar analisis de ventajas competitivas y comparativas con respecto al sector y a la competencia.</t>
  </si>
  <si>
    <t xml:space="preserve">f. Innovacion y el abordaje de los seguros, hacia las personas y empresas </t>
  </si>
  <si>
    <t xml:space="preserve">DEPRECIACIONES </t>
  </si>
  <si>
    <t>PROYECCIÓN</t>
  </si>
  <si>
    <t xml:space="preserve">Saldo Propiedad Planta y Equipo </t>
  </si>
  <si>
    <t xml:space="preserve">Construccion y / o Edificios </t>
  </si>
  <si>
    <t>Muebles y enseres (Equipo de oficina) vida util 10 años</t>
  </si>
  <si>
    <t xml:space="preserve">Equipos de computación vida util 10 años </t>
  </si>
  <si>
    <t xml:space="preserve">Total del año planta y equipo </t>
  </si>
  <si>
    <t xml:space="preserve">Vehiculos </t>
  </si>
  <si>
    <t>Sofware y Hardware</t>
  </si>
  <si>
    <t xml:space="preserve">(-) Total Depreciaciones </t>
  </si>
  <si>
    <t xml:space="preserve">Total cuenta Propiedad Planta y Equipo </t>
  </si>
  <si>
    <t>check point</t>
  </si>
  <si>
    <t xml:space="preserve">Planta y equipo / sobre ingresos </t>
  </si>
  <si>
    <t xml:space="preserve">Calculo promedio depreciación </t>
  </si>
  <si>
    <t>AMORTIZACIONES</t>
  </si>
  <si>
    <t xml:space="preserve">$ Crédito </t>
  </si>
  <si>
    <t xml:space="preserve">Total amortizaciones </t>
  </si>
  <si>
    <t xml:space="preserve">Ingresos ordinarios </t>
  </si>
  <si>
    <t xml:space="preserve">Otros ingresos </t>
  </si>
  <si>
    <t xml:space="preserve">Ingresos financieros </t>
  </si>
  <si>
    <t xml:space="preserve">Total de Ventas </t>
  </si>
  <si>
    <t xml:space="preserve">COSTOS </t>
  </si>
  <si>
    <t xml:space="preserve">Costos operacionales </t>
  </si>
  <si>
    <t>Gastos de administración</t>
  </si>
  <si>
    <t>Otros gastos y gastos financieros no deuda</t>
  </si>
  <si>
    <t xml:space="preserve">Total costos </t>
  </si>
  <si>
    <t xml:space="preserve">Saldo Inicial </t>
  </si>
  <si>
    <t xml:space="preserve">Ventas </t>
  </si>
  <si>
    <t xml:space="preserve">Costo Total </t>
  </si>
  <si>
    <t>Depreciación</t>
  </si>
  <si>
    <t xml:space="preserve">Gastos financieros </t>
  </si>
  <si>
    <t xml:space="preserve">Utilidad antes de impuestos </t>
  </si>
  <si>
    <t>Utilidad neta</t>
  </si>
  <si>
    <t xml:space="preserve">FLUJO NETO DE INVERSIÓN </t>
  </si>
  <si>
    <t xml:space="preserve">Inversión </t>
  </si>
  <si>
    <t xml:space="preserve">Inversión neta </t>
  </si>
  <si>
    <t xml:space="preserve">h. Fuerza comercial </t>
  </si>
  <si>
    <t xml:space="preserve">2 comunicadora (redes sociales y pagina web) </t>
  </si>
  <si>
    <t>1 diseñador (visual, diseño gráfico)</t>
  </si>
  <si>
    <t xml:space="preserve">g. equipo de marketing </t>
  </si>
  <si>
    <t xml:space="preserve">h. redes sociales, campañas, pautas, hosting y dominios, contenido en linea </t>
  </si>
  <si>
    <t xml:space="preserve">i. Hardware y sofware </t>
  </si>
  <si>
    <t xml:space="preserve">Expansión y especialización </t>
  </si>
  <si>
    <t xml:space="preserve">Pocisionamiento y reconocimiento en el mercado </t>
  </si>
  <si>
    <t xml:space="preserve">Valor terminal </t>
  </si>
  <si>
    <t>Valoración Empresa</t>
  </si>
  <si>
    <t>Expresado en Millones de pesos COP</t>
  </si>
  <si>
    <t>Modelo sin estrategia</t>
  </si>
  <si>
    <t>Modelo estrategia 1</t>
  </si>
  <si>
    <t>Modelo estrategia 2</t>
  </si>
  <si>
    <t xml:space="preserve">Estrategia 1 </t>
  </si>
  <si>
    <t xml:space="preserve">Margen operativo </t>
  </si>
  <si>
    <t>Margen neto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</si>
</sst>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 #,##0.00;[Red]\-&quot;$&quot;\ #,##0.00"/>
    <numFmt numFmtId="42" formatCode="_-&quot;$&quot;\ * #,##0_-;\-&quot;$&quot;\ * #,##0_-;_-&quot;$&quot;\ * &quot;-&quot;_-;_-@_-"/>
    <numFmt numFmtId="41" formatCode="_-* #,##0_-;\-* #,##0_-;_-* &quot;-&quot;_-;_-@_-"/>
    <numFmt numFmtId="44" formatCode="_-&quot;$&quot;\ * #,##0.00_-;\-&quot;$&quot;\ * #,##0.00_-;_-&quot;$&quot;\ * &quot;-&quot;??_-;_-@_-"/>
    <numFmt numFmtId="164" formatCode="_(&quot;$&quot;\ * #,##0.00_);_(&quot;$&quot;\ * \(#,##0.00\);_(&quot;$&quot;\ * &quot;-&quot;??_);_(@_)"/>
    <numFmt numFmtId="165" formatCode="#,##0,"/>
    <numFmt numFmtId="166" formatCode="_-&quot;$&quot;\ * #,##0_-;\-&quot;$&quot;\ * #,##0_-;_-&quot;$&quot;\ * &quot;-&quot;??_-;_-@_-"/>
    <numFmt numFmtId="167" formatCode="0.000"/>
    <numFmt numFmtId="168" formatCode="0.0000"/>
    <numFmt numFmtId="169" formatCode="0.0%&quot;EA&quot;"/>
    <numFmt numFmtId="170" formatCode="0%&quot;EA&quot;"/>
    <numFmt numFmtId="171" formatCode="0.0%"/>
    <numFmt numFmtId="172" formatCode="#,##0.00,"/>
    <numFmt numFmtId="173" formatCode="_(&quot;$&quot;\ * #,##0_);_(&quot;$&quot;\ * \(#,##0\);_(&quot;$&quot;\ * &quot;-&quot;??_);_(@_)"/>
    <numFmt numFmtId="174" formatCode="_ * #,##0.00_ ;_ * \-#,##0.00_ ;_ * &quot;-&quot;??_ ;_ @_ "/>
    <numFmt numFmtId="175" formatCode="#,##0,,"/>
  </numFmts>
  <fonts count="4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Light"/>
      <family val="2"/>
      <scheme val="major"/>
    </font>
    <font>
      <b/>
      <sz val="11"/>
      <color theme="1"/>
      <name val="Calibri Light"/>
      <family val="2"/>
      <scheme val="major"/>
    </font>
    <font>
      <sz val="10"/>
      <color theme="1"/>
      <name val="Calibri"/>
      <family val="2"/>
      <scheme val="minor"/>
    </font>
    <font>
      <b/>
      <sz val="10"/>
      <color theme="1"/>
      <name val="Calibri Light"/>
      <family val="2"/>
      <scheme val="major"/>
    </font>
    <font>
      <b/>
      <sz val="14"/>
      <color theme="1"/>
      <name val="Calibri Light"/>
      <family val="2"/>
      <scheme val="major"/>
    </font>
    <font>
      <sz val="10"/>
      <color theme="1"/>
      <name val="Calibri Light"/>
      <family val="1"/>
      <scheme val="major"/>
    </font>
    <font>
      <sz val="10"/>
      <color theme="0"/>
      <name val="Calibri Light"/>
      <family val="2"/>
      <scheme val="major"/>
    </font>
    <font>
      <sz val="10"/>
      <color theme="0"/>
      <name val="Calibri Light"/>
      <family val="1"/>
      <scheme val="major"/>
    </font>
    <font>
      <b/>
      <sz val="10"/>
      <color theme="0"/>
      <name val="Calibri Light"/>
      <family val="2"/>
      <scheme val="major"/>
    </font>
    <font>
      <sz val="11"/>
      <name val="Arial"/>
      <family val="2"/>
    </font>
    <font>
      <b/>
      <sz val="14"/>
      <color theme="1"/>
      <name val="Calibri"/>
      <family val="2"/>
      <scheme val="minor"/>
    </font>
    <font>
      <b/>
      <sz val="12"/>
      <color theme="1"/>
      <name val="Calibri"/>
      <family val="2"/>
      <scheme val="minor"/>
    </font>
    <font>
      <b/>
      <sz val="16"/>
      <color theme="0"/>
      <name val="Calibri"/>
      <family val="2"/>
      <scheme val="minor"/>
    </font>
    <font>
      <b/>
      <sz val="11"/>
      <color rgb="FFFF0000"/>
      <name val="Calibri"/>
      <family val="2"/>
      <scheme val="minor"/>
    </font>
    <font>
      <b/>
      <sz val="11"/>
      <color theme="0"/>
      <name val="Calibri Light"/>
      <family val="2"/>
      <scheme val="major"/>
    </font>
    <font>
      <b/>
      <sz val="10"/>
      <color theme="0"/>
      <name val="Calibri Light"/>
      <family val="2"/>
      <scheme val="major"/>
    </font>
    <font>
      <sz val="11"/>
      <color theme="1"/>
      <name val="Arial Rounded MT Bold"/>
      <family val="2"/>
    </font>
    <font>
      <b/>
      <sz val="18"/>
      <color theme="0"/>
      <name val="Calibri"/>
      <family val="2"/>
      <scheme val="minor"/>
    </font>
    <font>
      <b/>
      <sz val="16"/>
      <color theme="1"/>
      <name val="Calibri"/>
      <family val="2"/>
      <scheme val="minor"/>
    </font>
    <font>
      <sz val="11"/>
      <name val="Calibri"/>
      <family val="2"/>
      <scheme val="minor"/>
    </font>
    <font>
      <sz val="12"/>
      <color theme="1"/>
      <name val="Calibri Light"/>
      <family val="2"/>
      <scheme val="major"/>
    </font>
    <font>
      <b/>
      <sz val="12"/>
      <color theme="0"/>
      <name val="Calibri Light"/>
      <family val="2"/>
      <scheme val="major"/>
    </font>
    <font>
      <b/>
      <sz val="12"/>
      <color indexed="9"/>
      <name val="Calibri Light"/>
      <family val="2"/>
      <scheme val="major"/>
    </font>
    <font>
      <sz val="12"/>
      <color theme="0"/>
      <name val="Calibri Light"/>
      <family val="2"/>
      <scheme val="major"/>
    </font>
    <font>
      <b/>
      <sz val="12"/>
      <name val="Calibri Light"/>
      <family val="2"/>
      <scheme val="major"/>
    </font>
    <font>
      <b/>
      <sz val="12"/>
      <color theme="1"/>
      <name val="Calibri Light"/>
      <family val="2"/>
      <scheme val="major"/>
    </font>
    <font>
      <b/>
      <sz val="18"/>
      <color theme="1"/>
      <name val="Calibri Light"/>
      <family val="2"/>
      <scheme val="major"/>
    </font>
    <font>
      <sz val="9"/>
      <name val="Arial"/>
      <family val="2"/>
    </font>
    <font>
      <sz val="12"/>
      <color indexed="8"/>
      <name val="Arial"/>
      <family val="2"/>
    </font>
    <font>
      <sz val="12"/>
      <name val="Calibri Light"/>
      <family val="2"/>
      <scheme val="major"/>
    </font>
    <font>
      <sz val="11"/>
      <color theme="1"/>
      <name val="Calibri Light"/>
      <family val="2"/>
      <scheme val="major"/>
    </font>
    <font>
      <sz val="11"/>
      <name val="Calibri Light"/>
      <family val="2"/>
      <scheme val="major"/>
    </font>
    <font>
      <sz val="11"/>
      <color theme="1"/>
      <name val="Arial"/>
      <family val="2"/>
    </font>
    <font>
      <sz val="12"/>
      <color theme="1"/>
      <name val="Arial"/>
      <family val="2"/>
    </font>
    <font>
      <b/>
      <sz val="11"/>
      <color theme="1"/>
      <name val="Arial"/>
      <family val="2"/>
    </font>
  </fonts>
  <fills count="25">
    <fill>
      <patternFill patternType="none"/>
    </fill>
    <fill>
      <patternFill patternType="gray125"/>
    </fill>
    <fill>
      <patternFill patternType="solid">
        <fgColor theme="1"/>
        <bgColor indexed="64"/>
      </patternFill>
    </fill>
    <fill>
      <patternFill patternType="solid">
        <fgColor theme="1" tint="0.149998474074526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2" tint="-0.89999084444715716"/>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C000"/>
        <bgColor indexed="64"/>
      </patternFill>
    </fill>
    <fill>
      <patternFill patternType="solid">
        <fgColor theme="0" tint="-0.499984740745262"/>
        <bgColor indexed="64"/>
      </patternFill>
    </fill>
    <fill>
      <patternFill patternType="solid">
        <fgColor theme="2"/>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2" tint="-0.74999237037263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s>
  <cellStyleXfs count="17">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xf numFmtId="41" fontId="1" fillId="0" borderId="0" applyFont="0" applyFill="0" applyBorder="0" applyAlignment="0" applyProtection="0"/>
    <xf numFmtId="164" fontId="1" fillId="0" borderId="0" applyFont="0" applyFill="0" applyBorder="0" applyAlignment="0" applyProtection="0"/>
    <xf numFmtId="0" fontId="15" fillId="0" borderId="0"/>
    <xf numFmtId="44" fontId="1" fillId="0" borderId="0" applyFont="0" applyFill="0" applyBorder="0" applyAlignment="0" applyProtection="0"/>
    <xf numFmtId="42" fontId="1" fillId="0" borderId="0" applyFont="0" applyFill="0" applyBorder="0" applyAlignment="0" applyProtection="0"/>
    <xf numFmtId="174" fontId="5" fillId="0" borderId="0" applyFont="0" applyFill="0" applyBorder="0" applyAlignment="0" applyProtection="0"/>
    <xf numFmtId="164" fontId="1" fillId="0" borderId="0" applyFont="0" applyFill="0" applyBorder="0" applyAlignment="0" applyProtection="0"/>
    <xf numFmtId="0" fontId="5" fillId="0" borderId="0"/>
    <xf numFmtId="0" fontId="33" fillId="0" borderId="0"/>
    <xf numFmtId="9" fontId="5" fillId="0" borderId="0" applyFont="0" applyFill="0" applyBorder="0" applyAlignment="0" applyProtection="0"/>
    <xf numFmtId="9" fontId="3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383">
    <xf numFmtId="0" fontId="0" fillId="0" borderId="0" xfId="0"/>
    <xf numFmtId="0" fontId="7" fillId="6" borderId="0" xfId="0" applyFont="1" applyFill="1" applyAlignment="1">
      <alignment horizontal="left"/>
    </xf>
    <xf numFmtId="0" fontId="2" fillId="4" borderId="0" xfId="0" applyFont="1" applyFill="1" applyAlignment="1">
      <alignment horizontal="center"/>
    </xf>
    <xf numFmtId="0" fontId="8" fillId="0" borderId="0" xfId="0" applyFont="1"/>
    <xf numFmtId="0" fontId="0" fillId="6" borderId="0" xfId="0" applyFill="1"/>
    <xf numFmtId="0" fontId="9" fillId="6" borderId="0" xfId="0" applyFont="1" applyFill="1"/>
    <xf numFmtId="165" fontId="0" fillId="6" borderId="0" xfId="0" applyNumberFormat="1" applyFill="1"/>
    <xf numFmtId="0" fontId="6" fillId="6" borderId="4" xfId="0" applyFont="1" applyFill="1" applyBorder="1"/>
    <xf numFmtId="0" fontId="6" fillId="6" borderId="0" xfId="0" applyFont="1" applyFill="1"/>
    <xf numFmtId="165" fontId="6" fillId="0" borderId="0" xfId="0" applyNumberFormat="1" applyFont="1"/>
    <xf numFmtId="165" fontId="9" fillId="6" borderId="9" xfId="0" applyNumberFormat="1" applyFont="1" applyFill="1" applyBorder="1"/>
    <xf numFmtId="165" fontId="9" fillId="0" borderId="9" xfId="0" applyNumberFormat="1" applyFont="1" applyBorder="1"/>
    <xf numFmtId="0" fontId="9" fillId="0" borderId="0" xfId="0" applyFont="1"/>
    <xf numFmtId="165" fontId="9" fillId="0" borderId="0" xfId="0" applyNumberFormat="1" applyFont="1"/>
    <xf numFmtId="165" fontId="6" fillId="6" borderId="9" xfId="0" applyNumberFormat="1" applyFont="1" applyFill="1" applyBorder="1"/>
    <xf numFmtId="0" fontId="9" fillId="6" borderId="0" xfId="0" applyFont="1" applyFill="1" applyAlignment="1">
      <alignment horizontal="left"/>
    </xf>
    <xf numFmtId="165" fontId="6" fillId="6" borderId="0" xfId="0" applyNumberFormat="1" applyFont="1" applyFill="1"/>
    <xf numFmtId="165" fontId="6" fillId="6" borderId="7" xfId="0" applyNumberFormat="1" applyFont="1" applyFill="1" applyBorder="1"/>
    <xf numFmtId="165" fontId="6" fillId="0" borderId="7" xfId="0" applyNumberFormat="1" applyFont="1" applyBorder="1"/>
    <xf numFmtId="0" fontId="9" fillId="7" borderId="0" xfId="0" applyFont="1" applyFill="1"/>
    <xf numFmtId="165" fontId="6" fillId="0" borderId="0" xfId="4" applyNumberFormat="1" applyFont="1" applyFill="1"/>
    <xf numFmtId="165" fontId="9" fillId="0" borderId="11" xfId="0" applyNumberFormat="1" applyFont="1" applyBorder="1"/>
    <xf numFmtId="0" fontId="3" fillId="0" borderId="0" xfId="0" applyFont="1"/>
    <xf numFmtId="0" fontId="3" fillId="6" borderId="0" xfId="0" applyFont="1" applyFill="1"/>
    <xf numFmtId="0" fontId="2" fillId="4" borderId="0" xfId="0" applyFont="1" applyFill="1" applyAlignment="1">
      <alignment horizontal="left"/>
    </xf>
    <xf numFmtId="165" fontId="9" fillId="4" borderId="10" xfId="0" applyNumberFormat="1" applyFont="1" applyFill="1" applyBorder="1"/>
    <xf numFmtId="0" fontId="0" fillId="4" borderId="0" xfId="0" applyFill="1"/>
    <xf numFmtId="9" fontId="4" fillId="0" borderId="0" xfId="0" applyNumberFormat="1" applyFont="1"/>
    <xf numFmtId="41" fontId="0" fillId="0" borderId="0" xfId="0" applyNumberFormat="1"/>
    <xf numFmtId="165" fontId="9" fillId="6" borderId="11" xfId="0" applyNumberFormat="1" applyFont="1" applyFill="1" applyBorder="1"/>
    <xf numFmtId="9" fontId="9" fillId="6" borderId="9" xfId="2" applyFont="1" applyFill="1" applyBorder="1"/>
    <xf numFmtId="10" fontId="9" fillId="6" borderId="9" xfId="2" applyNumberFormat="1" applyFont="1" applyFill="1" applyBorder="1"/>
    <xf numFmtId="0" fontId="10" fillId="4" borderId="12" xfId="0" applyFont="1" applyFill="1" applyBorder="1" applyAlignment="1">
      <alignment horizontal="left"/>
    </xf>
    <xf numFmtId="0" fontId="0" fillId="4" borderId="13" xfId="0" applyFill="1" applyBorder="1"/>
    <xf numFmtId="0" fontId="2" fillId="4" borderId="13" xfId="0" applyFont="1" applyFill="1" applyBorder="1" applyAlignment="1">
      <alignment horizontal="center"/>
    </xf>
    <xf numFmtId="0" fontId="16" fillId="0" borderId="0" xfId="0" applyFont="1"/>
    <xf numFmtId="0" fontId="3" fillId="7" borderId="0" xfId="0" applyFont="1" applyFill="1"/>
    <xf numFmtId="0" fontId="0" fillId="0" borderId="0" xfId="0" applyFill="1"/>
    <xf numFmtId="0" fontId="0" fillId="0" borderId="0" xfId="0" applyAlignment="1">
      <alignment horizontal="center"/>
    </xf>
    <xf numFmtId="0" fontId="4" fillId="10" borderId="0" xfId="0" applyFont="1" applyFill="1" applyAlignment="1">
      <alignment horizontal="center"/>
    </xf>
    <xf numFmtId="164" fontId="0" fillId="0" borderId="0" xfId="5" applyFont="1"/>
    <xf numFmtId="164" fontId="0" fillId="0" borderId="0" xfId="5" applyFont="1" applyAlignment="1">
      <alignment horizontal="center"/>
    </xf>
    <xf numFmtId="3" fontId="0" fillId="0" borderId="0" xfId="0" applyNumberFormat="1" applyAlignment="1">
      <alignment horizontal="center"/>
    </xf>
    <xf numFmtId="0" fontId="2" fillId="10" borderId="0" xfId="0" applyFont="1" applyFill="1" applyAlignment="1">
      <alignment horizontal="center"/>
    </xf>
    <xf numFmtId="3" fontId="2" fillId="10" borderId="0" xfId="0" applyNumberFormat="1" applyFont="1" applyFill="1" applyAlignment="1">
      <alignment horizontal="center"/>
    </xf>
    <xf numFmtId="3" fontId="0" fillId="7" borderId="0" xfId="0" applyNumberFormat="1" applyFill="1" applyAlignment="1">
      <alignment horizontal="center"/>
    </xf>
    <xf numFmtId="3" fontId="0" fillId="9" borderId="0" xfId="0" applyNumberFormat="1" applyFill="1"/>
    <xf numFmtId="0" fontId="4" fillId="0" borderId="0" xfId="0" applyFont="1" applyFill="1"/>
    <xf numFmtId="3" fontId="4" fillId="0" borderId="0" xfId="0" applyNumberFormat="1" applyFont="1" applyFill="1" applyAlignment="1">
      <alignment horizontal="center"/>
    </xf>
    <xf numFmtId="3" fontId="0" fillId="11" borderId="0" xfId="0" applyNumberFormat="1" applyFill="1"/>
    <xf numFmtId="167" fontId="16" fillId="12" borderId="0" xfId="0" applyNumberFormat="1" applyFont="1" applyFill="1"/>
    <xf numFmtId="168" fontId="17" fillId="13" borderId="0" xfId="0" applyNumberFormat="1" applyFont="1" applyFill="1"/>
    <xf numFmtId="0" fontId="2" fillId="10" borderId="0" xfId="0" applyFont="1" applyFill="1"/>
    <xf numFmtId="2" fontId="2" fillId="10" borderId="0" xfId="0" applyNumberFormat="1" applyFont="1" applyFill="1"/>
    <xf numFmtId="0" fontId="16" fillId="13" borderId="0" xfId="0" applyFont="1" applyFill="1"/>
    <xf numFmtId="166" fontId="16" fillId="13" borderId="0" xfId="1" applyNumberFormat="1" applyFont="1" applyFill="1"/>
    <xf numFmtId="166" fontId="0" fillId="0" borderId="0" xfId="1" applyNumberFormat="1" applyFont="1"/>
    <xf numFmtId="0" fontId="0" fillId="14" borderId="0" xfId="0" applyFill="1"/>
    <xf numFmtId="0" fontId="4" fillId="14" borderId="0" xfId="0" applyFont="1" applyFill="1"/>
    <xf numFmtId="0" fontId="8" fillId="5" borderId="0" xfId="0" applyFont="1" applyFill="1"/>
    <xf numFmtId="165" fontId="6" fillId="5" borderId="0" xfId="0" applyNumberFormat="1" applyFont="1" applyFill="1"/>
    <xf numFmtId="165" fontId="8" fillId="5" borderId="0" xfId="4" applyNumberFormat="1" applyFont="1" applyFill="1"/>
    <xf numFmtId="165" fontId="6" fillId="5" borderId="0" xfId="0" applyNumberFormat="1" applyFont="1" applyFill="1" applyBorder="1"/>
    <xf numFmtId="165" fontId="6" fillId="5" borderId="7" xfId="0" applyNumberFormat="1" applyFont="1" applyFill="1" applyBorder="1"/>
    <xf numFmtId="165" fontId="9" fillId="5" borderId="9" xfId="0" applyNumberFormat="1" applyFont="1" applyFill="1" applyBorder="1"/>
    <xf numFmtId="165" fontId="6" fillId="5" borderId="0" xfId="4" applyNumberFormat="1" applyFont="1" applyFill="1"/>
    <xf numFmtId="165" fontId="9" fillId="5" borderId="0" xfId="0" applyNumberFormat="1" applyFont="1" applyFill="1"/>
    <xf numFmtId="165" fontId="9" fillId="5" borderId="11" xfId="0" applyNumberFormat="1" applyFont="1" applyFill="1" applyBorder="1"/>
    <xf numFmtId="165" fontId="1" fillId="5" borderId="0" xfId="4" applyNumberFormat="1" applyFont="1" applyFill="1"/>
    <xf numFmtId="165" fontId="0" fillId="15" borderId="0" xfId="0" applyNumberFormat="1" applyFill="1"/>
    <xf numFmtId="165" fontId="6" fillId="15" borderId="0" xfId="0" applyNumberFormat="1" applyFont="1" applyFill="1"/>
    <xf numFmtId="165" fontId="9" fillId="15" borderId="11" xfId="0" applyNumberFormat="1" applyFont="1" applyFill="1" applyBorder="1"/>
    <xf numFmtId="9" fontId="9" fillId="15" borderId="9" xfId="2" applyFont="1" applyFill="1" applyBorder="1"/>
    <xf numFmtId="10" fontId="9" fillId="15" borderId="9" xfId="2" applyNumberFormat="1" applyFont="1" applyFill="1" applyBorder="1"/>
    <xf numFmtId="165" fontId="9" fillId="15" borderId="9" xfId="0" applyNumberFormat="1" applyFont="1" applyFill="1" applyBorder="1"/>
    <xf numFmtId="165" fontId="6" fillId="15" borderId="9" xfId="0" applyNumberFormat="1" applyFont="1" applyFill="1" applyBorder="1"/>
    <xf numFmtId="0" fontId="2" fillId="4" borderId="12" xfId="0" applyFont="1" applyFill="1" applyBorder="1" applyAlignment="1">
      <alignment horizontal="center"/>
    </xf>
    <xf numFmtId="0" fontId="2" fillId="4" borderId="14" xfId="0" applyFont="1" applyFill="1" applyBorder="1" applyAlignment="1">
      <alignment horizontal="center"/>
    </xf>
    <xf numFmtId="0" fontId="6" fillId="6" borderId="1" xfId="0" applyFont="1" applyFill="1" applyBorder="1"/>
    <xf numFmtId="0" fontId="6" fillId="6" borderId="2" xfId="0" applyFont="1" applyFill="1" applyBorder="1"/>
    <xf numFmtId="165" fontId="11" fillId="6" borderId="2" xfId="0" applyNumberFormat="1" applyFont="1" applyFill="1" applyBorder="1"/>
    <xf numFmtId="165" fontId="11" fillId="6" borderId="3" xfId="0" applyNumberFormat="1" applyFont="1" applyFill="1" applyBorder="1"/>
    <xf numFmtId="0" fontId="6" fillId="6" borderId="0" xfId="0" applyFont="1" applyFill="1" applyBorder="1"/>
    <xf numFmtId="165" fontId="11" fillId="6" borderId="0" xfId="0" applyNumberFormat="1" applyFont="1" applyFill="1" applyBorder="1"/>
    <xf numFmtId="165" fontId="11" fillId="6" borderId="5" xfId="0" applyNumberFormat="1" applyFont="1" applyFill="1" applyBorder="1"/>
    <xf numFmtId="0" fontId="12" fillId="2" borderId="4" xfId="0" applyFont="1" applyFill="1" applyBorder="1"/>
    <xf numFmtId="0" fontId="12" fillId="2" borderId="0" xfId="0" applyFont="1" applyFill="1" applyBorder="1"/>
    <xf numFmtId="165" fontId="13" fillId="2" borderId="0" xfId="0" applyNumberFormat="1" applyFont="1" applyFill="1" applyBorder="1"/>
    <xf numFmtId="165" fontId="13" fillId="2" borderId="5" xfId="0" applyNumberFormat="1" applyFont="1" applyFill="1" applyBorder="1"/>
    <xf numFmtId="9" fontId="12" fillId="2" borderId="0" xfId="2" applyFont="1" applyFill="1" applyBorder="1"/>
    <xf numFmtId="9" fontId="12" fillId="2" borderId="5" xfId="2" applyFont="1" applyFill="1" applyBorder="1"/>
    <xf numFmtId="0" fontId="0" fillId="6" borderId="0" xfId="0" applyFill="1" applyBorder="1"/>
    <xf numFmtId="0" fontId="14" fillId="8" borderId="4" xfId="0" applyFont="1" applyFill="1" applyBorder="1"/>
    <xf numFmtId="0" fontId="14" fillId="8" borderId="0" xfId="0" applyFont="1" applyFill="1" applyBorder="1"/>
    <xf numFmtId="165" fontId="13" fillId="8" borderId="0" xfId="0" applyNumberFormat="1" applyFont="1" applyFill="1" applyBorder="1"/>
    <xf numFmtId="165" fontId="13" fillId="8" borderId="5" xfId="0" applyNumberFormat="1" applyFont="1" applyFill="1" applyBorder="1"/>
    <xf numFmtId="9" fontId="13" fillId="8" borderId="0" xfId="2" applyFont="1" applyFill="1" applyBorder="1"/>
    <xf numFmtId="9" fontId="13" fillId="8" borderId="5" xfId="2" applyFont="1" applyFill="1" applyBorder="1"/>
    <xf numFmtId="0" fontId="2" fillId="4" borderId="6" xfId="0" applyFont="1" applyFill="1" applyBorder="1" applyAlignment="1">
      <alignment horizontal="left"/>
    </xf>
    <xf numFmtId="0" fontId="0" fillId="4" borderId="7" xfId="0" applyFill="1" applyBorder="1"/>
    <xf numFmtId="0" fontId="2" fillId="4" borderId="7" xfId="0" applyFont="1" applyFill="1" applyBorder="1" applyAlignment="1">
      <alignment horizontal="center"/>
    </xf>
    <xf numFmtId="0" fontId="2" fillId="4" borderId="8" xfId="0" applyFont="1" applyFill="1" applyBorder="1" applyAlignment="1">
      <alignment horizontal="center"/>
    </xf>
    <xf numFmtId="9" fontId="0" fillId="0" borderId="0" xfId="2" applyFont="1"/>
    <xf numFmtId="0" fontId="6" fillId="6" borderId="15" xfId="0" applyFont="1" applyFill="1" applyBorder="1"/>
    <xf numFmtId="165" fontId="6" fillId="6" borderId="15" xfId="0" applyNumberFormat="1" applyFont="1" applyFill="1" applyBorder="1"/>
    <xf numFmtId="0" fontId="4" fillId="2" borderId="15" xfId="0" applyFont="1" applyFill="1" applyBorder="1"/>
    <xf numFmtId="165" fontId="12" fillId="2" borderId="15" xfId="0" applyNumberFormat="1" applyFont="1" applyFill="1" applyBorder="1"/>
    <xf numFmtId="9" fontId="4" fillId="2" borderId="15" xfId="2" applyFont="1" applyFill="1" applyBorder="1"/>
    <xf numFmtId="0" fontId="2" fillId="4" borderId="15" xfId="0" applyFont="1" applyFill="1" applyBorder="1" applyAlignment="1">
      <alignment horizontal="center"/>
    </xf>
    <xf numFmtId="0" fontId="0" fillId="2" borderId="15" xfId="0" applyFill="1" applyBorder="1"/>
    <xf numFmtId="165" fontId="6" fillId="2" borderId="15" xfId="0" applyNumberFormat="1" applyFont="1" applyFill="1" applyBorder="1"/>
    <xf numFmtId="0" fontId="2" fillId="2" borderId="15" xfId="0" applyFont="1" applyFill="1" applyBorder="1"/>
    <xf numFmtId="165" fontId="14" fillId="2" borderId="15" xfId="0" applyNumberFormat="1" applyFont="1" applyFill="1" applyBorder="1"/>
    <xf numFmtId="0" fontId="21" fillId="2" borderId="15" xfId="0" applyFont="1" applyFill="1" applyBorder="1"/>
    <xf numFmtId="0" fontId="0" fillId="0" borderId="15" xfId="0" applyBorder="1"/>
    <xf numFmtId="165" fontId="21" fillId="2" borderId="15" xfId="0" applyNumberFormat="1" applyFont="1" applyFill="1" applyBorder="1"/>
    <xf numFmtId="10" fontId="0" fillId="0" borderId="15" xfId="0" applyNumberFormat="1" applyBorder="1"/>
    <xf numFmtId="0" fontId="21" fillId="2" borderId="0" xfId="0" applyFont="1" applyFill="1"/>
    <xf numFmtId="0" fontId="22" fillId="0" borderId="0" xfId="0" applyFont="1"/>
    <xf numFmtId="2" fontId="0" fillId="0" borderId="15" xfId="1" applyNumberFormat="1" applyFont="1" applyBorder="1"/>
    <xf numFmtId="0" fontId="23" fillId="17" borderId="9" xfId="0" applyFont="1" applyFill="1" applyBorder="1"/>
    <xf numFmtId="165" fontId="23" fillId="17" borderId="9" xfId="0" applyNumberFormat="1" applyFont="1" applyFill="1" applyBorder="1"/>
    <xf numFmtId="0" fontId="24" fillId="0" borderId="0" xfId="0" applyFont="1" applyAlignment="1">
      <alignment horizontal="center" vertical="center"/>
    </xf>
    <xf numFmtId="0" fontId="3" fillId="18" borderId="16" xfId="0" applyFont="1" applyFill="1" applyBorder="1" applyAlignment="1">
      <alignment horizontal="center"/>
    </xf>
    <xf numFmtId="0" fontId="3" fillId="0" borderId="15" xfId="0" applyFont="1" applyBorder="1"/>
    <xf numFmtId="164" fontId="0" fillId="0" borderId="15" xfId="0" applyNumberFormat="1" applyBorder="1"/>
    <xf numFmtId="1" fontId="0" fillId="0" borderId="15" xfId="0" applyNumberFormat="1" applyBorder="1"/>
    <xf numFmtId="0" fontId="0" fillId="0" borderId="15" xfId="0" applyFont="1" applyBorder="1"/>
    <xf numFmtId="0" fontId="3" fillId="19" borderId="15" xfId="0" applyFont="1" applyFill="1" applyBorder="1"/>
    <xf numFmtId="1" fontId="0" fillId="19" borderId="15" xfId="0" applyNumberFormat="1" applyFill="1" applyBorder="1"/>
    <xf numFmtId="164" fontId="0" fillId="0" borderId="15" xfId="5" applyFont="1" applyBorder="1"/>
    <xf numFmtId="0" fontId="3" fillId="20" borderId="15" xfId="0" applyFont="1" applyFill="1" applyBorder="1"/>
    <xf numFmtId="164" fontId="3" fillId="20" borderId="15" xfId="0" applyNumberFormat="1" applyFont="1" applyFill="1" applyBorder="1"/>
    <xf numFmtId="0" fontId="25" fillId="0" borderId="0" xfId="0" applyFont="1"/>
    <xf numFmtId="0" fontId="25" fillId="0" borderId="0" xfId="0" applyFont="1" applyAlignment="1"/>
    <xf numFmtId="44" fontId="25" fillId="0" borderId="0" xfId="1" applyFont="1" applyAlignment="1"/>
    <xf numFmtId="0" fontId="14" fillId="2" borderId="15" xfId="0" applyFont="1" applyFill="1" applyBorder="1"/>
    <xf numFmtId="10" fontId="25" fillId="0" borderId="0" xfId="0" applyNumberFormat="1" applyFont="1"/>
    <xf numFmtId="1" fontId="0" fillId="0" borderId="0" xfId="0" applyNumberFormat="1"/>
    <xf numFmtId="0" fontId="26" fillId="0" borderId="0" xfId="0" applyFont="1"/>
    <xf numFmtId="0" fontId="27" fillId="2" borderId="16" xfId="0" applyFont="1" applyFill="1" applyBorder="1" applyAlignment="1">
      <alignment horizontal="center"/>
    </xf>
    <xf numFmtId="0" fontId="27" fillId="2" borderId="11" xfId="0" applyFont="1" applyFill="1" applyBorder="1" applyAlignment="1">
      <alignment horizontal="center"/>
    </xf>
    <xf numFmtId="0" fontId="27" fillId="2" borderId="18" xfId="0" applyFont="1" applyFill="1" applyBorder="1" applyAlignment="1">
      <alignment horizontal="center"/>
    </xf>
    <xf numFmtId="0" fontId="27" fillId="2" borderId="19" xfId="0" applyFont="1" applyFill="1" applyBorder="1" applyAlignment="1">
      <alignment horizontal="center"/>
    </xf>
    <xf numFmtId="0" fontId="26" fillId="0" borderId="19" xfId="0" applyFont="1" applyBorder="1"/>
    <xf numFmtId="0" fontId="27" fillId="2" borderId="21" xfId="0" applyFont="1" applyFill="1" applyBorder="1" applyAlignment="1">
      <alignment horizontal="center"/>
    </xf>
    <xf numFmtId="166" fontId="26" fillId="0" borderId="0" xfId="0" applyNumberFormat="1" applyFont="1"/>
    <xf numFmtId="0" fontId="29" fillId="2" borderId="0" xfId="0" applyFont="1" applyFill="1"/>
    <xf numFmtId="0" fontId="27" fillId="2" borderId="0" xfId="0" applyFont="1" applyFill="1" applyAlignment="1">
      <alignment horizontal="center"/>
    </xf>
    <xf numFmtId="0" fontId="26" fillId="0" borderId="1" xfId="0" applyFont="1" applyBorder="1"/>
    <xf numFmtId="0" fontId="26" fillId="0" borderId="2" xfId="0" applyFont="1" applyBorder="1" applyAlignment="1">
      <alignment horizontal="center"/>
    </xf>
    <xf numFmtId="0" fontId="26" fillId="0" borderId="3" xfId="0" applyFont="1" applyBorder="1" applyAlignment="1">
      <alignment horizontal="center"/>
    </xf>
    <xf numFmtId="0" fontId="26" fillId="0" borderId="4" xfId="0" applyFont="1" applyBorder="1"/>
    <xf numFmtId="165" fontId="26" fillId="0" borderId="0" xfId="0" applyNumberFormat="1" applyFont="1"/>
    <xf numFmtId="165" fontId="27" fillId="21" borderId="0" xfId="7" applyNumberFormat="1" applyFont="1" applyFill="1" applyBorder="1"/>
    <xf numFmtId="9" fontId="27" fillId="21" borderId="0" xfId="0" applyNumberFormat="1" applyFont="1" applyFill="1"/>
    <xf numFmtId="166" fontId="30" fillId="0" borderId="0" xfId="7" applyNumberFormat="1" applyFont="1" applyFill="1" applyBorder="1"/>
    <xf numFmtId="0" fontId="27" fillId="21" borderId="5" xfId="0" applyFont="1" applyFill="1" applyBorder="1"/>
    <xf numFmtId="165" fontId="29" fillId="2" borderId="0" xfId="0" applyNumberFormat="1" applyFont="1" applyFill="1"/>
    <xf numFmtId="0" fontId="26" fillId="0" borderId="6" xfId="0" applyFont="1" applyBorder="1"/>
    <xf numFmtId="165" fontId="27" fillId="21" borderId="7" xfId="7" applyNumberFormat="1" applyFont="1" applyFill="1" applyBorder="1"/>
    <xf numFmtId="0" fontId="26" fillId="0" borderId="7" xfId="0" applyFont="1" applyBorder="1"/>
    <xf numFmtId="0" fontId="27" fillId="21" borderId="7" xfId="0" applyFont="1" applyFill="1" applyBorder="1"/>
    <xf numFmtId="0" fontId="30" fillId="0" borderId="7" xfId="0" applyFont="1" applyBorder="1"/>
    <xf numFmtId="0" fontId="27" fillId="21" borderId="8" xfId="0" applyFont="1" applyFill="1" applyBorder="1"/>
    <xf numFmtId="0" fontId="31" fillId="9" borderId="0" xfId="0" applyFont="1" applyFill="1" applyAlignment="1">
      <alignment horizontal="center"/>
    </xf>
    <xf numFmtId="166" fontId="27" fillId="3" borderId="0" xfId="7" applyNumberFormat="1" applyFont="1" applyFill="1"/>
    <xf numFmtId="166" fontId="26" fillId="0" borderId="0" xfId="7" applyNumberFormat="1" applyFont="1"/>
    <xf numFmtId="0" fontId="27" fillId="3" borderId="0" xfId="0" applyFont="1" applyFill="1"/>
    <xf numFmtId="4" fontId="26" fillId="0" borderId="0" xfId="0" applyNumberFormat="1" applyFont="1"/>
    <xf numFmtId="169" fontId="2" fillId="3" borderId="0" xfId="2" applyNumberFormat="1" applyFont="1" applyFill="1"/>
    <xf numFmtId="8" fontId="26" fillId="0" borderId="0" xfId="0" applyNumberFormat="1" applyFont="1"/>
    <xf numFmtId="165" fontId="26" fillId="0" borderId="0" xfId="7" applyNumberFormat="1" applyFont="1"/>
    <xf numFmtId="169" fontId="27" fillId="3" borderId="0" xfId="0" applyNumberFormat="1" applyFont="1" applyFill="1"/>
    <xf numFmtId="166" fontId="29" fillId="2" borderId="0" xfId="7" applyNumberFormat="1" applyFont="1" applyFill="1"/>
    <xf numFmtId="165" fontId="29" fillId="2" borderId="0" xfId="7" applyNumberFormat="1" applyFont="1" applyFill="1"/>
    <xf numFmtId="9" fontId="26" fillId="0" borderId="0" xfId="0" applyNumberFormat="1" applyFont="1"/>
    <xf numFmtId="166" fontId="29" fillId="2" borderId="0" xfId="0" applyNumberFormat="1" applyFont="1" applyFill="1"/>
    <xf numFmtId="0" fontId="29" fillId="0" borderId="0" xfId="0" applyFont="1" applyFill="1"/>
    <xf numFmtId="166" fontId="29" fillId="0" borderId="0" xfId="0" applyNumberFormat="1" applyFont="1" applyFill="1"/>
    <xf numFmtId="10" fontId="26" fillId="0" borderId="0" xfId="2" applyNumberFormat="1" applyFont="1"/>
    <xf numFmtId="0" fontId="26" fillId="22" borderId="15" xfId="0" applyFont="1" applyFill="1" applyBorder="1" applyAlignment="1">
      <alignment horizontal="center"/>
    </xf>
    <xf numFmtId="0" fontId="26" fillId="22" borderId="15" xfId="0" applyFont="1" applyFill="1" applyBorder="1" applyAlignment="1">
      <alignment horizontal="left"/>
    </xf>
    <xf numFmtId="165" fontId="26" fillId="22" borderId="15" xfId="0" applyNumberFormat="1" applyFont="1" applyFill="1" applyBorder="1" applyAlignment="1">
      <alignment horizontal="center"/>
    </xf>
    <xf numFmtId="0" fontId="26" fillId="22" borderId="15" xfId="7" applyNumberFormat="1" applyFont="1" applyFill="1" applyBorder="1" applyAlignment="1">
      <alignment horizontal="center"/>
    </xf>
    <xf numFmtId="9" fontId="26" fillId="0" borderId="19" xfId="2" applyFont="1" applyBorder="1"/>
    <xf numFmtId="9" fontId="26" fillId="0" borderId="21" xfId="2" applyFont="1" applyBorder="1"/>
    <xf numFmtId="3" fontId="26" fillId="0" borderId="0" xfId="0" applyNumberFormat="1" applyFont="1" applyAlignment="1">
      <alignment horizontal="center"/>
    </xf>
    <xf numFmtId="170" fontId="26" fillId="0" borderId="0" xfId="0" applyNumberFormat="1" applyFont="1"/>
    <xf numFmtId="165" fontId="26" fillId="23" borderId="0" xfId="0" applyNumberFormat="1" applyFont="1" applyFill="1"/>
    <xf numFmtId="10" fontId="26" fillId="0" borderId="0" xfId="0" applyNumberFormat="1" applyFont="1"/>
    <xf numFmtId="171" fontId="26" fillId="0" borderId="0" xfId="0" applyNumberFormat="1" applyFont="1"/>
    <xf numFmtId="0" fontId="26" fillId="9" borderId="0" xfId="0" applyFont="1" applyFill="1"/>
    <xf numFmtId="44" fontId="26" fillId="0" borderId="0" xfId="0" applyNumberFormat="1" applyFont="1"/>
    <xf numFmtId="9" fontId="26" fillId="0" borderId="0" xfId="2" applyFont="1"/>
    <xf numFmtId="9" fontId="26" fillId="0" borderId="16" xfId="2" applyFont="1" applyBorder="1"/>
    <xf numFmtId="172" fontId="6" fillId="6" borderId="19" xfId="0" applyNumberFormat="1" applyFont="1" applyFill="1" applyBorder="1"/>
    <xf numFmtId="0" fontId="26" fillId="0" borderId="0" xfId="0" applyFont="1" applyAlignment="1"/>
    <xf numFmtId="0" fontId="22" fillId="0" borderId="0" xfId="0" applyFont="1" applyAlignment="1"/>
    <xf numFmtId="0" fontId="0" fillId="0" borderId="0" xfId="0"/>
    <xf numFmtId="0" fontId="7" fillId="6" borderId="0" xfId="0" applyFont="1" applyFill="1" applyAlignment="1">
      <alignment horizontal="left"/>
    </xf>
    <xf numFmtId="0" fontId="2" fillId="4" borderId="0" xfId="0" applyFont="1" applyFill="1" applyAlignment="1">
      <alignment horizontal="center"/>
    </xf>
    <xf numFmtId="165" fontId="6" fillId="6" borderId="15" xfId="0" applyNumberFormat="1" applyFont="1" applyFill="1" applyBorder="1"/>
    <xf numFmtId="0" fontId="6" fillId="6" borderId="0" xfId="0" applyFont="1" applyFill="1"/>
    <xf numFmtId="0" fontId="22" fillId="0" borderId="0" xfId="0" applyFont="1"/>
    <xf numFmtId="0" fontId="26" fillId="0" borderId="0" xfId="0" applyFont="1"/>
    <xf numFmtId="0" fontId="26" fillId="0" borderId="7" xfId="0" applyFont="1" applyBorder="1"/>
    <xf numFmtId="0" fontId="0" fillId="0" borderId="7" xfId="0" applyBorder="1"/>
    <xf numFmtId="166" fontId="26" fillId="0" borderId="0" xfId="0" applyNumberFormat="1" applyFont="1"/>
    <xf numFmtId="0" fontId="31" fillId="9" borderId="0" xfId="0" applyFont="1" applyFill="1" applyAlignment="1">
      <alignment horizontal="center"/>
    </xf>
    <xf numFmtId="0" fontId="26" fillId="0" borderId="1" xfId="0" applyFont="1" applyBorder="1"/>
    <xf numFmtId="0" fontId="26" fillId="0" borderId="2" xfId="0" applyFont="1" applyBorder="1" applyAlignment="1">
      <alignment horizontal="center"/>
    </xf>
    <xf numFmtId="0" fontId="26" fillId="0" borderId="3" xfId="0" applyFont="1" applyBorder="1" applyAlignment="1">
      <alignment horizontal="center"/>
    </xf>
    <xf numFmtId="0" fontId="26" fillId="0" borderId="4" xfId="0" applyFont="1" applyBorder="1"/>
    <xf numFmtId="9" fontId="27" fillId="21" borderId="0" xfId="0" applyNumberFormat="1" applyFont="1" applyFill="1"/>
    <xf numFmtId="166" fontId="30" fillId="0" borderId="0" xfId="7" applyNumberFormat="1" applyFont="1" applyFill="1" applyBorder="1"/>
    <xf numFmtId="0" fontId="27" fillId="21" borderId="5" xfId="0" applyFont="1" applyFill="1" applyBorder="1"/>
    <xf numFmtId="0" fontId="26" fillId="0" borderId="6" xfId="0" applyFont="1" applyBorder="1"/>
    <xf numFmtId="0" fontId="27" fillId="21" borderId="7" xfId="0" applyFont="1" applyFill="1" applyBorder="1"/>
    <xf numFmtId="0" fontId="30" fillId="0" borderId="7" xfId="0" applyFont="1" applyBorder="1"/>
    <xf numFmtId="0" fontId="27" fillId="21" borderId="8" xfId="0" applyFont="1" applyFill="1" applyBorder="1"/>
    <xf numFmtId="166" fontId="26" fillId="0" borderId="0" xfId="7" applyNumberFormat="1" applyFont="1"/>
    <xf numFmtId="166" fontId="27" fillId="3" borderId="0" xfId="7" applyNumberFormat="1" applyFont="1" applyFill="1"/>
    <xf numFmtId="0" fontId="27" fillId="3" borderId="0" xfId="0" applyFont="1" applyFill="1"/>
    <xf numFmtId="4" fontId="26" fillId="0" borderId="0" xfId="0" applyNumberFormat="1" applyFont="1"/>
    <xf numFmtId="169" fontId="2" fillId="3" borderId="0" xfId="2" applyNumberFormat="1" applyFont="1" applyFill="1"/>
    <xf numFmtId="8" fontId="26" fillId="0" borderId="0" xfId="0" applyNumberFormat="1" applyFont="1"/>
    <xf numFmtId="169" fontId="27" fillId="3" borderId="0" xfId="0" applyNumberFormat="1" applyFont="1" applyFill="1"/>
    <xf numFmtId="0" fontId="26" fillId="22" borderId="15" xfId="0" applyFont="1" applyFill="1" applyBorder="1" applyAlignment="1">
      <alignment horizontal="center"/>
    </xf>
    <xf numFmtId="3" fontId="26" fillId="0" borderId="0" xfId="0" applyNumberFormat="1" applyFont="1" applyAlignment="1">
      <alignment horizontal="center"/>
    </xf>
    <xf numFmtId="9" fontId="26" fillId="0" borderId="0" xfId="0" applyNumberFormat="1" applyFont="1"/>
    <xf numFmtId="10" fontId="26" fillId="0" borderId="0" xfId="2" applyNumberFormat="1" applyFont="1"/>
    <xf numFmtId="10" fontId="26" fillId="0" borderId="0" xfId="0" applyNumberFormat="1" applyFont="1"/>
    <xf numFmtId="0" fontId="26" fillId="9" borderId="0" xfId="0" applyFont="1" applyFill="1"/>
    <xf numFmtId="44" fontId="26" fillId="0" borderId="0" xfId="0" applyNumberFormat="1" applyFont="1"/>
    <xf numFmtId="9" fontId="0" fillId="0" borderId="0" xfId="2" applyFont="1"/>
    <xf numFmtId="0" fontId="0" fillId="0" borderId="25" xfId="0" applyBorder="1"/>
    <xf numFmtId="0" fontId="2" fillId="4" borderId="15" xfId="0" applyFont="1" applyFill="1" applyBorder="1" applyAlignment="1">
      <alignment horizontal="center"/>
    </xf>
    <xf numFmtId="0" fontId="0" fillId="0" borderId="15" xfId="0" applyBorder="1"/>
    <xf numFmtId="165" fontId="12" fillId="2" borderId="15" xfId="0" applyNumberFormat="1" applyFont="1" applyFill="1" applyBorder="1"/>
    <xf numFmtId="10" fontId="0" fillId="0" borderId="15" xfId="0" applyNumberFormat="1" applyBorder="1"/>
    <xf numFmtId="9" fontId="26" fillId="0" borderId="19" xfId="2" applyFont="1" applyBorder="1"/>
    <xf numFmtId="9" fontId="26" fillId="0" borderId="21" xfId="2" applyFont="1" applyBorder="1"/>
    <xf numFmtId="0" fontId="26" fillId="22" borderId="15" xfId="0" applyFont="1" applyFill="1" applyBorder="1" applyAlignment="1">
      <alignment horizontal="left"/>
    </xf>
    <xf numFmtId="0" fontId="26" fillId="22" borderId="15" xfId="7" applyNumberFormat="1" applyFont="1" applyFill="1" applyBorder="1" applyAlignment="1">
      <alignment horizontal="center"/>
    </xf>
    <xf numFmtId="170" fontId="26" fillId="0" borderId="0" xfId="0" applyNumberFormat="1" applyFont="1"/>
    <xf numFmtId="171" fontId="26" fillId="0" borderId="0" xfId="0" applyNumberFormat="1" applyFont="1"/>
    <xf numFmtId="0" fontId="27" fillId="2" borderId="0" xfId="0" applyFont="1" applyFill="1" applyAlignment="1">
      <alignment horizontal="center"/>
    </xf>
    <xf numFmtId="0" fontId="29" fillId="2" borderId="0" xfId="0" applyFont="1" applyFill="1"/>
    <xf numFmtId="166" fontId="29" fillId="2" borderId="0" xfId="0" applyNumberFormat="1" applyFont="1" applyFill="1"/>
    <xf numFmtId="0" fontId="27" fillId="2" borderId="11" xfId="0" applyFont="1" applyFill="1" applyBorder="1" applyAlignment="1">
      <alignment horizontal="center"/>
    </xf>
    <xf numFmtId="0" fontId="27" fillId="2" borderId="18" xfId="0" applyFont="1" applyFill="1" applyBorder="1" applyAlignment="1">
      <alignment horizontal="center"/>
    </xf>
    <xf numFmtId="173" fontId="0" fillId="0" borderId="0" xfId="5" applyNumberFormat="1" applyFont="1" applyBorder="1"/>
    <xf numFmtId="0" fontId="26" fillId="0" borderId="0" xfId="0" applyFont="1" applyBorder="1"/>
    <xf numFmtId="173" fontId="0" fillId="0" borderId="27" xfId="5" applyNumberFormat="1" applyFont="1" applyBorder="1"/>
    <xf numFmtId="0" fontId="0" fillId="0" borderId="0" xfId="0" applyBorder="1"/>
    <xf numFmtId="0" fontId="0" fillId="0" borderId="27" xfId="0" applyBorder="1"/>
    <xf numFmtId="0" fontId="0" fillId="0" borderId="28" xfId="0" applyBorder="1"/>
    <xf numFmtId="0" fontId="26" fillId="0" borderId="25" xfId="0" applyFont="1" applyBorder="1"/>
    <xf numFmtId="0" fontId="27" fillId="2" borderId="16" xfId="0" applyFont="1" applyFill="1" applyBorder="1" applyAlignment="1">
      <alignment horizontal="center"/>
    </xf>
    <xf numFmtId="0" fontId="27" fillId="2" borderId="19" xfId="0" applyFont="1" applyFill="1" applyBorder="1" applyAlignment="1">
      <alignment horizontal="center"/>
    </xf>
    <xf numFmtId="0" fontId="26" fillId="0" borderId="19" xfId="0" applyFont="1" applyBorder="1"/>
    <xf numFmtId="0" fontId="0" fillId="0" borderId="19" xfId="0" applyBorder="1"/>
    <xf numFmtId="0" fontId="0" fillId="0" borderId="20" xfId="0" applyBorder="1"/>
    <xf numFmtId="0" fontId="27" fillId="2" borderId="21" xfId="0" applyFont="1" applyFill="1" applyBorder="1" applyAlignment="1">
      <alignment horizontal="center"/>
    </xf>
    <xf numFmtId="0" fontId="22" fillId="0" borderId="0" xfId="0" applyFont="1" applyAlignment="1">
      <alignment horizontal="left" vertical="center" wrapText="1"/>
    </xf>
    <xf numFmtId="0" fontId="22" fillId="0" borderId="0" xfId="0" applyFont="1" applyAlignment="1">
      <alignment horizontal="left" wrapText="1"/>
    </xf>
    <xf numFmtId="165" fontId="0" fillId="0" borderId="22" xfId="5" applyNumberFormat="1" applyFont="1" applyBorder="1"/>
    <xf numFmtId="165" fontId="26" fillId="0" borderId="23" xfId="0" applyNumberFormat="1" applyFont="1" applyBorder="1"/>
    <xf numFmtId="165" fontId="0" fillId="0" borderId="23" xfId="5" applyNumberFormat="1" applyFont="1" applyBorder="1"/>
    <xf numFmtId="165" fontId="0" fillId="0" borderId="24" xfId="5" applyNumberFormat="1" applyFont="1" applyBorder="1"/>
    <xf numFmtId="165" fontId="0" fillId="0" borderId="23" xfId="0" applyNumberFormat="1" applyBorder="1"/>
    <xf numFmtId="165" fontId="0" fillId="0" borderId="26" xfId="5" applyNumberFormat="1" applyFont="1" applyBorder="1"/>
    <xf numFmtId="165" fontId="30" fillId="0" borderId="0" xfId="7" applyNumberFormat="1" applyFont="1" applyFill="1" applyBorder="1"/>
    <xf numFmtId="165" fontId="27" fillId="3" borderId="0" xfId="7" applyNumberFormat="1" applyFont="1" applyFill="1"/>
    <xf numFmtId="165" fontId="6" fillId="0" borderId="0" xfId="7" applyNumberFormat="1" applyFont="1"/>
    <xf numFmtId="0" fontId="22" fillId="0" borderId="0" xfId="0" applyFont="1" applyAlignment="1">
      <alignment horizontal="left" vertical="center" wrapText="1"/>
    </xf>
    <xf numFmtId="0" fontId="0" fillId="0" borderId="0" xfId="0"/>
    <xf numFmtId="165" fontId="0" fillId="0" borderId="0" xfId="8" applyNumberFormat="1" applyFont="1" applyBorder="1"/>
    <xf numFmtId="165" fontId="0" fillId="0" borderId="8" xfId="8" applyNumberFormat="1" applyFont="1" applyBorder="1"/>
    <xf numFmtId="165" fontId="0" fillId="0" borderId="7" xfId="8" applyNumberFormat="1" applyFont="1" applyBorder="1"/>
    <xf numFmtId="0" fontId="35" fillId="0" borderId="4" xfId="0" applyFont="1" applyBorder="1"/>
    <xf numFmtId="165" fontId="0" fillId="0" borderId="5" xfId="8" applyNumberFormat="1" applyFont="1" applyBorder="1"/>
    <xf numFmtId="0" fontId="0" fillId="0" borderId="0" xfId="0"/>
    <xf numFmtId="0" fontId="0" fillId="0" borderId="0" xfId="0" applyFill="1"/>
    <xf numFmtId="0" fontId="2" fillId="4" borderId="0" xfId="0" applyFont="1" applyFill="1" applyAlignment="1">
      <alignment horizontal="center"/>
    </xf>
    <xf numFmtId="165" fontId="0" fillId="0" borderId="0" xfId="0" applyNumberFormat="1"/>
    <xf numFmtId="0" fontId="26" fillId="0" borderId="4" xfId="0" applyFont="1" applyBorder="1"/>
    <xf numFmtId="0" fontId="26" fillId="0" borderId="6" xfId="0" applyFont="1" applyBorder="1"/>
    <xf numFmtId="0" fontId="2" fillId="4" borderId="0" xfId="0" applyFont="1" applyFill="1" applyBorder="1" applyAlignment="1">
      <alignment horizontal="center"/>
    </xf>
    <xf numFmtId="0" fontId="2" fillId="4" borderId="5" xfId="0" applyFont="1" applyFill="1" applyBorder="1" applyAlignment="1">
      <alignment horizontal="center"/>
    </xf>
    <xf numFmtId="9" fontId="0" fillId="0" borderId="0" xfId="2" applyFont="1"/>
    <xf numFmtId="0" fontId="26" fillId="0" borderId="4" xfId="0" applyFont="1" applyFill="1" applyBorder="1"/>
    <xf numFmtId="0" fontId="26" fillId="0" borderId="0" xfId="0" applyFont="1" applyFill="1" applyBorder="1"/>
    <xf numFmtId="9" fontId="0" fillId="0" borderId="0" xfId="0" applyNumberFormat="1"/>
    <xf numFmtId="165" fontId="0" fillId="0" borderId="0" xfId="0" applyNumberFormat="1" applyBorder="1"/>
    <xf numFmtId="165" fontId="0" fillId="0" borderId="5" xfId="0" applyNumberFormat="1" applyBorder="1"/>
    <xf numFmtId="0" fontId="26" fillId="0" borderId="6" xfId="0" applyFont="1" applyFill="1" applyBorder="1"/>
    <xf numFmtId="165" fontId="0" fillId="0" borderId="7" xfId="0" applyNumberFormat="1" applyBorder="1"/>
    <xf numFmtId="165" fontId="0" fillId="0" borderId="8" xfId="0" applyNumberFormat="1" applyBorder="1"/>
    <xf numFmtId="165" fontId="0" fillId="0" borderId="0" xfId="8" applyNumberFormat="1" applyFont="1" applyFill="1" applyBorder="1"/>
    <xf numFmtId="165" fontId="0" fillId="0" borderId="5" xfId="8" applyNumberFormat="1" applyFont="1" applyFill="1" applyBorder="1"/>
    <xf numFmtId="0" fontId="26" fillId="0" borderId="12" xfId="0" applyFont="1" applyBorder="1"/>
    <xf numFmtId="165" fontId="0" fillId="0" borderId="13" xfId="0" applyNumberFormat="1" applyBorder="1"/>
    <xf numFmtId="165" fontId="0" fillId="0" borderId="14" xfId="0" applyNumberFormat="1" applyBorder="1"/>
    <xf numFmtId="0" fontId="26" fillId="0" borderId="12" xfId="0" applyFont="1" applyFill="1" applyBorder="1"/>
    <xf numFmtId="0" fontId="31" fillId="0" borderId="4" xfId="0" applyFont="1" applyFill="1" applyBorder="1"/>
    <xf numFmtId="42" fontId="0" fillId="0" borderId="0" xfId="0" applyNumberFormat="1"/>
    <xf numFmtId="165" fontId="0" fillId="0" borderId="0" xfId="8" applyNumberFormat="1" applyFont="1"/>
    <xf numFmtId="165" fontId="0" fillId="0" borderId="13" xfId="8" applyNumberFormat="1" applyFont="1" applyFill="1" applyBorder="1"/>
    <xf numFmtId="165" fontId="0" fillId="0" borderId="14" xfId="8" applyNumberFormat="1" applyFont="1" applyFill="1" applyBorder="1"/>
    <xf numFmtId="165" fontId="0" fillId="0" borderId="0" xfId="8" applyNumberFormat="1" applyFont="1" applyFill="1"/>
    <xf numFmtId="175" fontId="36" fillId="0" borderId="0" xfId="0" applyNumberFormat="1" applyFont="1" applyBorder="1" applyAlignment="1">
      <alignment horizontal="center"/>
    </xf>
    <xf numFmtId="175" fontId="36" fillId="0" borderId="0" xfId="0" applyNumberFormat="1" applyFont="1" applyFill="1" applyBorder="1" applyAlignment="1">
      <alignment horizontal="center"/>
    </xf>
    <xf numFmtId="175" fontId="37" fillId="0" borderId="0" xfId="0" applyNumberFormat="1" applyFont="1" applyFill="1" applyBorder="1" applyAlignment="1">
      <alignment horizontal="center"/>
    </xf>
    <xf numFmtId="9" fontId="37" fillId="0" borderId="0" xfId="2" applyFont="1" applyFill="1" applyBorder="1" applyAlignment="1">
      <alignment horizontal="center"/>
    </xf>
    <xf numFmtId="0" fontId="36" fillId="0" borderId="0" xfId="0" applyFont="1"/>
    <xf numFmtId="175" fontId="36" fillId="0" borderId="5" xfId="0" applyNumberFormat="1" applyFont="1" applyBorder="1" applyAlignment="1">
      <alignment horizontal="center"/>
    </xf>
    <xf numFmtId="175" fontId="36" fillId="0" borderId="5" xfId="0" applyNumberFormat="1" applyFont="1" applyFill="1" applyBorder="1" applyAlignment="1">
      <alignment horizontal="center"/>
    </xf>
    <xf numFmtId="175" fontId="37" fillId="0" borderId="5" xfId="0" applyNumberFormat="1" applyFont="1" applyFill="1" applyBorder="1" applyAlignment="1">
      <alignment horizontal="center"/>
    </xf>
    <xf numFmtId="9" fontId="37" fillId="0" borderId="5" xfId="2" applyFont="1" applyFill="1" applyBorder="1" applyAlignment="1">
      <alignment horizontal="center"/>
    </xf>
    <xf numFmtId="0" fontId="6" fillId="6" borderId="6" xfId="0" applyFont="1" applyFill="1" applyBorder="1"/>
    <xf numFmtId="175" fontId="37" fillId="0" borderId="7" xfId="0" applyNumberFormat="1" applyFont="1" applyFill="1" applyBorder="1" applyAlignment="1">
      <alignment horizontal="center"/>
    </xf>
    <xf numFmtId="175" fontId="37" fillId="0" borderId="8" xfId="0" applyNumberFormat="1" applyFont="1" applyFill="1" applyBorder="1" applyAlignment="1">
      <alignment horizontal="center"/>
    </xf>
    <xf numFmtId="0" fontId="20" fillId="2" borderId="0" xfId="0" applyFont="1" applyFill="1" applyBorder="1" applyAlignment="1">
      <alignment vertical="center" wrapText="1"/>
    </xf>
    <xf numFmtId="0" fontId="20" fillId="2" borderId="4" xfId="0" applyFont="1" applyFill="1" applyBorder="1" applyAlignment="1">
      <alignment vertical="center" wrapText="1"/>
    </xf>
    <xf numFmtId="0" fontId="6" fillId="20" borderId="4" xfId="0" applyFont="1" applyFill="1" applyBorder="1"/>
    <xf numFmtId="175" fontId="36" fillId="20" borderId="0" xfId="0" applyNumberFormat="1" applyFont="1" applyFill="1" applyBorder="1" applyAlignment="1">
      <alignment horizontal="center"/>
    </xf>
    <xf numFmtId="175" fontId="36" fillId="20" borderId="5" xfId="0" applyNumberFormat="1" applyFont="1" applyFill="1" applyBorder="1" applyAlignment="1">
      <alignment horizontal="center"/>
    </xf>
    <xf numFmtId="9" fontId="37" fillId="20" borderId="0" xfId="2" applyFont="1" applyFill="1" applyBorder="1" applyAlignment="1">
      <alignment horizontal="center"/>
    </xf>
    <xf numFmtId="9" fontId="37" fillId="20" borderId="5" xfId="2" applyFont="1" applyFill="1" applyBorder="1" applyAlignment="1">
      <alignment horizontal="center"/>
    </xf>
    <xf numFmtId="175" fontId="37" fillId="20" borderId="0" xfId="0" applyNumberFormat="1" applyFont="1" applyFill="1" applyBorder="1" applyAlignment="1">
      <alignment horizontal="center"/>
    </xf>
    <xf numFmtId="175" fontId="37" fillId="20" borderId="5" xfId="0" applyNumberFormat="1" applyFont="1" applyFill="1" applyBorder="1" applyAlignment="1">
      <alignment horizontal="center"/>
    </xf>
    <xf numFmtId="0" fontId="29" fillId="0" borderId="0" xfId="0" applyFont="1"/>
    <xf numFmtId="0" fontId="38" fillId="0" borderId="0" xfId="0" applyFont="1" applyAlignment="1">
      <alignment horizontal="left"/>
    </xf>
    <xf numFmtId="0" fontId="39" fillId="0" borderId="0" xfId="0" applyFont="1"/>
    <xf numFmtId="0" fontId="40" fillId="0" borderId="0" xfId="0" applyFont="1" applyAlignment="1"/>
    <xf numFmtId="0" fontId="38" fillId="0" borderId="0" xfId="0" applyFont="1"/>
    <xf numFmtId="0" fontId="38" fillId="0" borderId="0" xfId="0" applyFont="1" applyAlignment="1">
      <alignment horizontal="left" vertical="center" wrapText="1"/>
    </xf>
    <xf numFmtId="0" fontId="39" fillId="0" borderId="0" xfId="0" applyFont="1" applyAlignment="1"/>
    <xf numFmtId="0" fontId="40" fillId="0" borderId="0" xfId="0" applyFont="1"/>
    <xf numFmtId="165" fontId="40" fillId="0" borderId="0" xfId="0" applyNumberFormat="1" applyFont="1"/>
    <xf numFmtId="0" fontId="20" fillId="2" borderId="1" xfId="0" applyFont="1" applyFill="1" applyBorder="1" applyAlignment="1">
      <alignment vertical="center" wrapText="1"/>
    </xf>
    <xf numFmtId="165" fontId="6" fillId="6" borderId="0" xfId="0" applyNumberFormat="1" applyFont="1" applyFill="1" applyBorder="1"/>
    <xf numFmtId="172" fontId="6" fillId="6" borderId="0" xfId="0" applyNumberFormat="1" applyFont="1" applyFill="1" applyBorder="1"/>
    <xf numFmtId="2" fontId="0" fillId="0" borderId="0" xfId="1" applyNumberFormat="1" applyFont="1" applyBorder="1"/>
    <xf numFmtId="165" fontId="0" fillId="0" borderId="15" xfId="0" applyNumberFormat="1" applyFill="1" applyBorder="1"/>
    <xf numFmtId="9" fontId="0" fillId="0" borderId="15" xfId="2" applyFont="1" applyBorder="1"/>
    <xf numFmtId="165" fontId="6" fillId="0" borderId="15" xfId="0" applyNumberFormat="1" applyFont="1" applyFill="1" applyBorder="1"/>
    <xf numFmtId="9" fontId="6" fillId="0" borderId="15" xfId="2" applyFont="1" applyBorder="1"/>
    <xf numFmtId="0" fontId="3" fillId="0" borderId="0" xfId="0" applyFont="1" applyFill="1" applyAlignment="1">
      <alignment horizontal="center"/>
    </xf>
    <xf numFmtId="0" fontId="2" fillId="3" borderId="0" xfId="0" applyFont="1" applyFill="1" applyAlignment="1">
      <alignment horizontal="center"/>
    </xf>
    <xf numFmtId="0" fontId="19" fillId="0" borderId="0" xfId="0" applyFont="1" applyFill="1" applyAlignment="1">
      <alignment horizontal="center"/>
    </xf>
    <xf numFmtId="0" fontId="3" fillId="24" borderId="1" xfId="0" applyFont="1" applyFill="1" applyBorder="1" applyAlignment="1">
      <alignment horizontal="center"/>
    </xf>
    <xf numFmtId="0" fontId="3" fillId="24" borderId="4" xfId="0" applyFont="1" applyFill="1" applyBorder="1" applyAlignment="1">
      <alignment horizontal="center"/>
    </xf>
    <xf numFmtId="0" fontId="3" fillId="24" borderId="6" xfId="0" applyFont="1" applyFill="1" applyBorder="1" applyAlignment="1">
      <alignment horizontal="center"/>
    </xf>
    <xf numFmtId="0" fontId="2" fillId="3" borderId="2" xfId="0" applyFont="1" applyFill="1" applyBorder="1" applyAlignment="1">
      <alignment horizontal="center"/>
    </xf>
    <xf numFmtId="0" fontId="2" fillId="3" borderId="0" xfId="0" applyFont="1" applyFill="1" applyBorder="1" applyAlignment="1">
      <alignment horizontal="center"/>
    </xf>
    <xf numFmtId="0" fontId="2" fillId="3" borderId="3" xfId="0" applyFont="1" applyFill="1" applyBorder="1" applyAlignment="1">
      <alignment horizontal="center"/>
    </xf>
    <xf numFmtId="0" fontId="2" fillId="3" borderId="5" xfId="0" applyFont="1" applyFill="1" applyBorder="1" applyAlignment="1">
      <alignment horizontal="center"/>
    </xf>
    <xf numFmtId="0" fontId="3" fillId="24" borderId="0" xfId="0" applyFont="1" applyFill="1" applyAlignment="1">
      <alignment horizontal="center"/>
    </xf>
    <xf numFmtId="0" fontId="3" fillId="24" borderId="7" xfId="0" applyFont="1" applyFill="1" applyBorder="1" applyAlignment="1">
      <alignment horizontal="center"/>
    </xf>
    <xf numFmtId="0" fontId="2" fillId="4" borderId="25" xfId="0" applyFont="1" applyFill="1" applyBorder="1" applyAlignment="1">
      <alignment horizontal="center"/>
    </xf>
    <xf numFmtId="0" fontId="20" fillId="16" borderId="0" xfId="0" applyFont="1" applyFill="1" applyAlignment="1">
      <alignment horizontal="center" vertical="center" wrapText="1"/>
    </xf>
    <xf numFmtId="0" fontId="0" fillId="0" borderId="0" xfId="0" applyAlignment="1">
      <alignment horizontal="center"/>
    </xf>
    <xf numFmtId="0" fontId="24" fillId="0" borderId="0" xfId="0" applyFont="1" applyAlignment="1">
      <alignment horizontal="center" vertical="center"/>
    </xf>
    <xf numFmtId="0" fontId="25" fillId="0" borderId="0" xfId="0" applyFont="1" applyAlignment="1">
      <alignment horizontal="center"/>
    </xf>
    <xf numFmtId="0" fontId="25" fillId="0" borderId="17" xfId="0" applyFont="1" applyBorder="1" applyAlignment="1">
      <alignment horizontal="center"/>
    </xf>
    <xf numFmtId="0" fontId="40" fillId="0" borderId="0" xfId="0" applyFont="1" applyAlignment="1">
      <alignment horizontal="left"/>
    </xf>
    <xf numFmtId="165" fontId="40" fillId="0" borderId="0" xfId="0" applyNumberFormat="1" applyFont="1" applyAlignment="1">
      <alignment horizontal="left"/>
    </xf>
    <xf numFmtId="0" fontId="32" fillId="0" borderId="0" xfId="0" applyFont="1" applyAlignment="1">
      <alignment horizontal="left"/>
    </xf>
    <xf numFmtId="0" fontId="28" fillId="2" borderId="12" xfId="6" applyFont="1" applyFill="1" applyBorder="1" applyAlignment="1">
      <alignment horizontal="center"/>
    </xf>
    <xf numFmtId="0" fontId="28" fillId="2" borderId="13" xfId="6" applyFont="1" applyFill="1" applyBorder="1" applyAlignment="1">
      <alignment horizontal="center"/>
    </xf>
    <xf numFmtId="0" fontId="28" fillId="2" borderId="14" xfId="6" applyFont="1" applyFill="1" applyBorder="1" applyAlignment="1">
      <alignment horizontal="center"/>
    </xf>
    <xf numFmtId="0" fontId="28" fillId="2" borderId="0" xfId="6" applyFont="1" applyFill="1" applyAlignment="1">
      <alignment horizontal="center"/>
    </xf>
    <xf numFmtId="0" fontId="20" fillId="2" borderId="0"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1" xfId="0" applyFont="1" applyFill="1" applyBorder="1" applyAlignment="1">
      <alignment horizontal="center"/>
    </xf>
    <xf numFmtId="0" fontId="20" fillId="2" borderId="2" xfId="0" applyFont="1" applyFill="1" applyBorder="1" applyAlignment="1">
      <alignment horizontal="center"/>
    </xf>
    <xf numFmtId="0" fontId="20" fillId="2" borderId="3" xfId="0" applyFont="1" applyFill="1" applyBorder="1" applyAlignment="1">
      <alignment horizontal="center"/>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8" fillId="10" borderId="0" xfId="0" applyFont="1" applyFill="1" applyAlignment="1">
      <alignment horizontal="center" vertical="center"/>
    </xf>
  </cellXfs>
  <cellStyles count="17">
    <cellStyle name="Millares [0] 2" xfId="4" xr:uid="{00000000-0005-0000-0000-000000000000}"/>
    <cellStyle name="Millares 2" xfId="9" xr:uid="{00000000-0005-0000-0000-000001000000}"/>
    <cellStyle name="Moneda" xfId="1" builtinId="4"/>
    <cellStyle name="Moneda [0] 2" xfId="8" xr:uid="{00000000-0005-0000-0000-000003000000}"/>
    <cellStyle name="Moneda 2" xfId="5" xr:uid="{00000000-0005-0000-0000-000004000000}"/>
    <cellStyle name="Moneda 2 2" xfId="15" xr:uid="{00000000-0005-0000-0000-000005000000}"/>
    <cellStyle name="Moneda 3" xfId="7" xr:uid="{00000000-0005-0000-0000-000006000000}"/>
    <cellStyle name="Moneda 4" xfId="10" xr:uid="{00000000-0005-0000-0000-000007000000}"/>
    <cellStyle name="Moneda 5" xfId="16" xr:uid="{00000000-0005-0000-0000-000008000000}"/>
    <cellStyle name="Normal" xfId="0" builtinId="0"/>
    <cellStyle name="Normal 2" xfId="6" xr:uid="{00000000-0005-0000-0000-00000A000000}"/>
    <cellStyle name="Normal 2 2" xfId="11" xr:uid="{00000000-0005-0000-0000-00000B000000}"/>
    <cellStyle name="Normal 3" xfId="12" xr:uid="{00000000-0005-0000-0000-00000C000000}"/>
    <cellStyle name="Normal 4" xfId="3" xr:uid="{00000000-0005-0000-0000-00000D000000}"/>
    <cellStyle name="Porcentaje" xfId="2" builtinId="5"/>
    <cellStyle name="Porcentaje 2" xfId="13" xr:uid="{00000000-0005-0000-0000-00000F000000}"/>
    <cellStyle name="Porcentual 2" xfId="14"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RESULTADOS!$B$4</c:f>
              <c:strCache>
                <c:ptCount val="1"/>
                <c:pt idx="0">
                  <c:v>Modelo sin estrategia</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RESULTADOS!$A$5:$A$9</c:f>
              <c:strCache>
                <c:ptCount val="5"/>
                <c:pt idx="1">
                  <c:v>Ingresos </c:v>
                </c:pt>
                <c:pt idx="2">
                  <c:v>Costos directos </c:v>
                </c:pt>
                <c:pt idx="3">
                  <c:v>Margen bruto </c:v>
                </c:pt>
                <c:pt idx="4">
                  <c:v>%</c:v>
                </c:pt>
              </c:strCache>
            </c:strRef>
          </c:cat>
          <c:val>
            <c:numRef>
              <c:f>RESULTADOS!$B$5:$B$9</c:f>
              <c:numCache>
                <c:formatCode>#,##0,,</c:formatCode>
                <c:ptCount val="5"/>
                <c:pt idx="1">
                  <c:v>28575478369.500004</c:v>
                </c:pt>
                <c:pt idx="2">
                  <c:v>19418044348.5</c:v>
                </c:pt>
                <c:pt idx="3">
                  <c:v>9157434021.0000038</c:v>
                </c:pt>
                <c:pt idx="4" formatCode="0%">
                  <c:v>0.32046476711914568</c:v>
                </c:pt>
              </c:numCache>
            </c:numRef>
          </c:val>
          <c:extLst>
            <c:ext xmlns:c16="http://schemas.microsoft.com/office/drawing/2014/chart" uri="{C3380CC4-5D6E-409C-BE32-E72D297353CC}">
              <c16:uniqueId val="{00000000-B74D-4A48-B71D-F4753FACBD33}"/>
            </c:ext>
          </c:extLst>
        </c:ser>
        <c:ser>
          <c:idx val="1"/>
          <c:order val="1"/>
          <c:tx>
            <c:strRef>
              <c:f>RESULTADOS!$C$4</c:f>
              <c:strCache>
                <c:ptCount val="1"/>
                <c:pt idx="0">
                  <c:v>Modelo estrategia 1</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RESULTADOS!$A$5:$A$9</c:f>
              <c:strCache>
                <c:ptCount val="5"/>
                <c:pt idx="1">
                  <c:v>Ingresos </c:v>
                </c:pt>
                <c:pt idx="2">
                  <c:v>Costos directos </c:v>
                </c:pt>
                <c:pt idx="3">
                  <c:v>Margen bruto </c:v>
                </c:pt>
                <c:pt idx="4">
                  <c:v>%</c:v>
                </c:pt>
              </c:strCache>
            </c:strRef>
          </c:cat>
          <c:val>
            <c:numRef>
              <c:f>RESULTADOS!$C$5:$C$9</c:f>
              <c:numCache>
                <c:formatCode>#,##0,,</c:formatCode>
                <c:ptCount val="5"/>
                <c:pt idx="1">
                  <c:v>34159089027.035789</c:v>
                </c:pt>
                <c:pt idx="2">
                  <c:v>22076785045.154465</c:v>
                </c:pt>
                <c:pt idx="3">
                  <c:v>12082303981.881325</c:v>
                </c:pt>
                <c:pt idx="4" formatCode="0%">
                  <c:v>0.35370685595036155</c:v>
                </c:pt>
              </c:numCache>
            </c:numRef>
          </c:val>
          <c:extLst>
            <c:ext xmlns:c16="http://schemas.microsoft.com/office/drawing/2014/chart" uri="{C3380CC4-5D6E-409C-BE32-E72D297353CC}">
              <c16:uniqueId val="{00000001-B74D-4A48-B71D-F4753FACBD33}"/>
            </c:ext>
          </c:extLst>
        </c:ser>
        <c:ser>
          <c:idx val="2"/>
          <c:order val="2"/>
          <c:tx>
            <c:strRef>
              <c:f>RESULTADOS!$D$4</c:f>
              <c:strCache>
                <c:ptCount val="1"/>
                <c:pt idx="0">
                  <c:v>Modelo estrategia 2</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strRef>
              <c:f>RESULTADOS!$A$5:$A$9</c:f>
              <c:strCache>
                <c:ptCount val="5"/>
                <c:pt idx="1">
                  <c:v>Ingresos </c:v>
                </c:pt>
                <c:pt idx="2">
                  <c:v>Costos directos </c:v>
                </c:pt>
                <c:pt idx="3">
                  <c:v>Margen bruto </c:v>
                </c:pt>
                <c:pt idx="4">
                  <c:v>%</c:v>
                </c:pt>
              </c:strCache>
            </c:strRef>
          </c:cat>
          <c:val>
            <c:numRef>
              <c:f>RESULTADOS!$D$5:$D$9</c:f>
              <c:numCache>
                <c:formatCode>#,##0,,</c:formatCode>
                <c:ptCount val="5"/>
                <c:pt idx="1">
                  <c:v>34159089027.035789</c:v>
                </c:pt>
                <c:pt idx="2">
                  <c:v>20172990287.630791</c:v>
                </c:pt>
                <c:pt idx="3">
                  <c:v>13986098739.405001</c:v>
                </c:pt>
                <c:pt idx="4" formatCode="0%">
                  <c:v>0.40944003888205172</c:v>
                </c:pt>
              </c:numCache>
            </c:numRef>
          </c:val>
          <c:extLst>
            <c:ext xmlns:c16="http://schemas.microsoft.com/office/drawing/2014/chart" uri="{C3380CC4-5D6E-409C-BE32-E72D297353CC}">
              <c16:uniqueId val="{00000002-B74D-4A48-B71D-F4753FACBD33}"/>
            </c:ext>
          </c:extLst>
        </c:ser>
        <c:dLbls>
          <c:showLegendKey val="0"/>
          <c:showVal val="0"/>
          <c:showCatName val="0"/>
          <c:showSerName val="0"/>
          <c:showPercent val="0"/>
          <c:showBubbleSize val="0"/>
        </c:dLbls>
        <c:gapWidth val="65"/>
        <c:shape val="box"/>
        <c:axId val="230225408"/>
        <c:axId val="225083968"/>
        <c:axId val="0"/>
      </c:bar3DChart>
      <c:catAx>
        <c:axId val="2302254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25083968"/>
        <c:crosses val="autoZero"/>
        <c:auto val="1"/>
        <c:lblAlgn val="ctr"/>
        <c:lblOffset val="100"/>
        <c:noMultiLvlLbl val="0"/>
      </c:catAx>
      <c:valAx>
        <c:axId val="225083968"/>
        <c:scaling>
          <c:orientation val="minMax"/>
        </c:scaling>
        <c:delete val="1"/>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crossAx val="2302254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RESULTADOS!$B$26</c:f>
              <c:strCache>
                <c:ptCount val="1"/>
                <c:pt idx="0">
                  <c:v>Modelo sin estrategia</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RESULTADOS!$A$27:$A$30</c:f>
              <c:strCache>
                <c:ptCount val="4"/>
                <c:pt idx="1">
                  <c:v>EBITDA %</c:v>
                </c:pt>
                <c:pt idx="2">
                  <c:v>EBIT %</c:v>
                </c:pt>
                <c:pt idx="3">
                  <c:v>E%</c:v>
                </c:pt>
              </c:strCache>
            </c:strRef>
          </c:cat>
          <c:val>
            <c:numRef>
              <c:f>RESULTADOS!$B$27:$B$30</c:f>
              <c:numCache>
                <c:formatCode>0%</c:formatCode>
                <c:ptCount val="4"/>
                <c:pt idx="1">
                  <c:v>0.35635581774507252</c:v>
                </c:pt>
                <c:pt idx="2">
                  <c:v>0.11857153992971944</c:v>
                </c:pt>
                <c:pt idx="3">
                  <c:v>8.9370803927671535E-2</c:v>
                </c:pt>
              </c:numCache>
            </c:numRef>
          </c:val>
          <c:extLst>
            <c:ext xmlns:c16="http://schemas.microsoft.com/office/drawing/2014/chart" uri="{C3380CC4-5D6E-409C-BE32-E72D297353CC}">
              <c16:uniqueId val="{00000000-D2A4-42D2-8DFA-7B33D143D224}"/>
            </c:ext>
          </c:extLst>
        </c:ser>
        <c:ser>
          <c:idx val="1"/>
          <c:order val="1"/>
          <c:tx>
            <c:strRef>
              <c:f>RESULTADOS!$C$26</c:f>
              <c:strCache>
                <c:ptCount val="1"/>
                <c:pt idx="0">
                  <c:v>Modelo estrategia 1</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RESULTADOS!$A$27:$A$30</c:f>
              <c:strCache>
                <c:ptCount val="4"/>
                <c:pt idx="1">
                  <c:v>EBITDA %</c:v>
                </c:pt>
                <c:pt idx="2">
                  <c:v>EBIT %</c:v>
                </c:pt>
                <c:pt idx="3">
                  <c:v>E%</c:v>
                </c:pt>
              </c:strCache>
            </c:strRef>
          </c:cat>
          <c:val>
            <c:numRef>
              <c:f>RESULTADOS!$C$27:$C$30</c:f>
              <c:numCache>
                <c:formatCode>0%</c:formatCode>
                <c:ptCount val="4"/>
                <c:pt idx="1">
                  <c:v>0.46920582275002259</c:v>
                </c:pt>
                <c:pt idx="2">
                  <c:v>0.15732331040154909</c:v>
                </c:pt>
                <c:pt idx="3">
                  <c:v>0.11872534060446185</c:v>
                </c:pt>
              </c:numCache>
            </c:numRef>
          </c:val>
          <c:extLst>
            <c:ext xmlns:c16="http://schemas.microsoft.com/office/drawing/2014/chart" uri="{C3380CC4-5D6E-409C-BE32-E72D297353CC}">
              <c16:uniqueId val="{00000001-D2A4-42D2-8DFA-7B33D143D224}"/>
            </c:ext>
          </c:extLst>
        </c:ser>
        <c:ser>
          <c:idx val="2"/>
          <c:order val="2"/>
          <c:tx>
            <c:strRef>
              <c:f>RESULTADOS!$D$26</c:f>
              <c:strCache>
                <c:ptCount val="1"/>
                <c:pt idx="0">
                  <c:v>Modelo estrategia 2</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strRef>
              <c:f>RESULTADOS!$A$27:$A$30</c:f>
              <c:strCache>
                <c:ptCount val="4"/>
                <c:pt idx="1">
                  <c:v>EBITDA %</c:v>
                </c:pt>
                <c:pt idx="2">
                  <c:v>EBIT %</c:v>
                </c:pt>
                <c:pt idx="3">
                  <c:v>E%</c:v>
                </c:pt>
              </c:strCache>
            </c:strRef>
          </c:cat>
          <c:val>
            <c:numRef>
              <c:f>RESULTADOS!$D$27:$D$30</c:f>
              <c:numCache>
                <c:formatCode>0%</c:formatCode>
                <c:ptCount val="4"/>
                <c:pt idx="1">
                  <c:v>0.5016275653047203</c:v>
                </c:pt>
                <c:pt idx="2">
                  <c:v>0.20284429244512617</c:v>
                </c:pt>
                <c:pt idx="3">
                  <c:v>0.15294719556915912</c:v>
                </c:pt>
              </c:numCache>
            </c:numRef>
          </c:val>
          <c:extLst>
            <c:ext xmlns:c16="http://schemas.microsoft.com/office/drawing/2014/chart" uri="{C3380CC4-5D6E-409C-BE32-E72D297353CC}">
              <c16:uniqueId val="{00000002-D2A4-42D2-8DFA-7B33D143D224}"/>
            </c:ext>
          </c:extLst>
        </c:ser>
        <c:dLbls>
          <c:showLegendKey val="0"/>
          <c:showVal val="0"/>
          <c:showCatName val="0"/>
          <c:showSerName val="0"/>
          <c:showPercent val="0"/>
          <c:showBubbleSize val="0"/>
        </c:dLbls>
        <c:gapWidth val="65"/>
        <c:shape val="box"/>
        <c:axId val="225588736"/>
        <c:axId val="225087424"/>
        <c:axId val="0"/>
      </c:bar3DChart>
      <c:catAx>
        <c:axId val="2255887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25087424"/>
        <c:crosses val="autoZero"/>
        <c:auto val="1"/>
        <c:lblAlgn val="ctr"/>
        <c:lblOffset val="100"/>
        <c:noMultiLvlLbl val="0"/>
      </c:catAx>
      <c:valAx>
        <c:axId val="225087424"/>
        <c:scaling>
          <c:orientation val="minMax"/>
        </c:scaling>
        <c:delete val="1"/>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crossAx val="22558873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1"/>
          <c:tx>
            <c:strRef>
              <c:f>RESULTADOS!$A$33</c:f>
              <c:strCache>
                <c:ptCount val="1"/>
                <c:pt idx="0">
                  <c:v>Valor terminal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RESULTADOS!$B$31:$D$31</c:f>
              <c:strCache>
                <c:ptCount val="3"/>
                <c:pt idx="0">
                  <c:v>Modelo sin estrategia</c:v>
                </c:pt>
                <c:pt idx="1">
                  <c:v>Modelo estrategia 1</c:v>
                </c:pt>
                <c:pt idx="2">
                  <c:v>Modelo estrategia 2</c:v>
                </c:pt>
              </c:strCache>
            </c:strRef>
          </c:cat>
          <c:val>
            <c:numRef>
              <c:f>RESULTADOS!$B$33:$D$33</c:f>
              <c:numCache>
                <c:formatCode>#,##0,,</c:formatCode>
                <c:ptCount val="3"/>
                <c:pt idx="0">
                  <c:v>9183548130.3454018</c:v>
                </c:pt>
                <c:pt idx="1">
                  <c:v>11430866174.956224</c:v>
                </c:pt>
                <c:pt idx="2">
                  <c:v>15271804082.929653</c:v>
                </c:pt>
              </c:numCache>
            </c:numRef>
          </c:val>
          <c:extLst>
            <c:ext xmlns:c16="http://schemas.microsoft.com/office/drawing/2014/chart" uri="{C3380CC4-5D6E-409C-BE32-E72D297353CC}">
              <c16:uniqueId val="{00000001-D879-441D-9804-2C01212043BC}"/>
            </c:ext>
          </c:extLst>
        </c:ser>
        <c:ser>
          <c:idx val="2"/>
          <c:order val="2"/>
          <c:tx>
            <c:strRef>
              <c:f>RESULTADOS!$A$34</c:f>
              <c:strCache>
                <c:ptCount val="1"/>
                <c:pt idx="0">
                  <c:v>VALOR PRESENTE NETO DEL FCL</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strRef>
              <c:f>RESULTADOS!$B$31:$D$31</c:f>
              <c:strCache>
                <c:ptCount val="3"/>
                <c:pt idx="0">
                  <c:v>Modelo sin estrategia</c:v>
                </c:pt>
                <c:pt idx="1">
                  <c:v>Modelo estrategia 1</c:v>
                </c:pt>
                <c:pt idx="2">
                  <c:v>Modelo estrategia 2</c:v>
                </c:pt>
              </c:strCache>
            </c:strRef>
          </c:cat>
          <c:val>
            <c:numRef>
              <c:f>RESULTADOS!$B$34:$D$34</c:f>
              <c:numCache>
                <c:formatCode>#,##0,,</c:formatCode>
                <c:ptCount val="3"/>
                <c:pt idx="0">
                  <c:v>4862768414.9943142</c:v>
                </c:pt>
                <c:pt idx="1">
                  <c:v>6052742818.2067318</c:v>
                </c:pt>
                <c:pt idx="2">
                  <c:v>8086552765.925169</c:v>
                </c:pt>
              </c:numCache>
            </c:numRef>
          </c:val>
          <c:extLst>
            <c:ext xmlns:c16="http://schemas.microsoft.com/office/drawing/2014/chart" uri="{C3380CC4-5D6E-409C-BE32-E72D297353CC}">
              <c16:uniqueId val="{00000002-D879-441D-9804-2C01212043BC}"/>
            </c:ext>
          </c:extLst>
        </c:ser>
        <c:ser>
          <c:idx val="3"/>
          <c:order val="3"/>
          <c:tx>
            <c:strRef>
              <c:f>RESULTADOS!$A$35</c:f>
              <c:strCache>
                <c:ptCount val="1"/>
                <c:pt idx="0">
                  <c:v>Valoración Empresa</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dPt>
            <c:idx val="0"/>
            <c:invertIfNegative val="0"/>
            <c:bubble3D val="0"/>
            <c:spPr>
              <a:solidFill>
                <a:schemeClr val="accent1">
                  <a:alpha val="85000"/>
                </a:schemeClr>
              </a:solidFill>
              <a:ln w="9525" cap="flat" cmpd="sng" algn="ctr">
                <a:solidFill>
                  <a:schemeClr val="accent4">
                    <a:lumMod val="75000"/>
                  </a:schemeClr>
                </a:solidFill>
                <a:round/>
              </a:ln>
              <a:effectLst/>
              <a:sp3d contourW="9525">
                <a:contourClr>
                  <a:schemeClr val="accent4">
                    <a:lumMod val="75000"/>
                  </a:schemeClr>
                </a:contourClr>
              </a:sp3d>
            </c:spPr>
            <c:extLst>
              <c:ext xmlns:c16="http://schemas.microsoft.com/office/drawing/2014/chart" uri="{C3380CC4-5D6E-409C-BE32-E72D297353CC}">
                <c16:uniqueId val="{00000007-D879-441D-9804-2C01212043BC}"/>
              </c:ext>
            </c:extLst>
          </c:dPt>
          <c:dPt>
            <c:idx val="1"/>
            <c:invertIfNegative val="0"/>
            <c:bubble3D val="0"/>
            <c:spPr>
              <a:solidFill>
                <a:schemeClr val="accent1">
                  <a:alpha val="85000"/>
                </a:schemeClr>
              </a:solidFill>
              <a:ln w="9525" cap="flat" cmpd="sng" algn="ctr">
                <a:solidFill>
                  <a:schemeClr val="accent4">
                    <a:lumMod val="75000"/>
                  </a:schemeClr>
                </a:solidFill>
                <a:round/>
              </a:ln>
              <a:effectLst/>
              <a:sp3d contourW="9525">
                <a:contourClr>
                  <a:schemeClr val="accent4">
                    <a:lumMod val="75000"/>
                  </a:schemeClr>
                </a:contourClr>
              </a:sp3d>
            </c:spPr>
            <c:extLst>
              <c:ext xmlns:c16="http://schemas.microsoft.com/office/drawing/2014/chart" uri="{C3380CC4-5D6E-409C-BE32-E72D297353CC}">
                <c16:uniqueId val="{00000006-D879-441D-9804-2C01212043BC}"/>
              </c:ext>
            </c:extLst>
          </c:dPt>
          <c:dPt>
            <c:idx val="2"/>
            <c:invertIfNegative val="0"/>
            <c:bubble3D val="0"/>
            <c:spPr>
              <a:solidFill>
                <a:schemeClr val="accent1">
                  <a:alpha val="85000"/>
                </a:schemeClr>
              </a:solidFill>
              <a:ln w="9525" cap="flat" cmpd="sng" algn="ctr">
                <a:solidFill>
                  <a:schemeClr val="accent4">
                    <a:lumMod val="75000"/>
                  </a:schemeClr>
                </a:solidFill>
                <a:round/>
              </a:ln>
              <a:effectLst/>
              <a:sp3d contourW="9525">
                <a:contourClr>
                  <a:schemeClr val="accent4">
                    <a:lumMod val="75000"/>
                  </a:schemeClr>
                </a:contourClr>
              </a:sp3d>
            </c:spPr>
            <c:extLst>
              <c:ext xmlns:c16="http://schemas.microsoft.com/office/drawing/2014/chart" uri="{C3380CC4-5D6E-409C-BE32-E72D297353CC}">
                <c16:uniqueId val="{00000005-D879-441D-9804-2C01212043BC}"/>
              </c:ext>
            </c:extLst>
          </c:dPt>
          <c:cat>
            <c:strRef>
              <c:f>RESULTADOS!$B$31:$D$31</c:f>
              <c:strCache>
                <c:ptCount val="3"/>
                <c:pt idx="0">
                  <c:v>Modelo sin estrategia</c:v>
                </c:pt>
                <c:pt idx="1">
                  <c:v>Modelo estrategia 1</c:v>
                </c:pt>
                <c:pt idx="2">
                  <c:v>Modelo estrategia 2</c:v>
                </c:pt>
              </c:strCache>
            </c:strRef>
          </c:cat>
          <c:val>
            <c:numRef>
              <c:f>RESULTADOS!$B$35:$D$35</c:f>
              <c:numCache>
                <c:formatCode>#,##0,,</c:formatCode>
                <c:ptCount val="3"/>
                <c:pt idx="0">
                  <c:v>6634939522.440238</c:v>
                </c:pt>
                <c:pt idx="1">
                  <c:v>6991695656.6314487</c:v>
                </c:pt>
                <c:pt idx="2">
                  <c:v>10292711511.087412</c:v>
                </c:pt>
              </c:numCache>
            </c:numRef>
          </c:val>
          <c:extLst>
            <c:ext xmlns:c16="http://schemas.microsoft.com/office/drawing/2014/chart" uri="{C3380CC4-5D6E-409C-BE32-E72D297353CC}">
              <c16:uniqueId val="{00000004-D879-441D-9804-2C01212043BC}"/>
            </c:ext>
          </c:extLst>
        </c:ser>
        <c:dLbls>
          <c:showLegendKey val="0"/>
          <c:showVal val="0"/>
          <c:showCatName val="0"/>
          <c:showSerName val="0"/>
          <c:showPercent val="0"/>
          <c:showBubbleSize val="0"/>
        </c:dLbls>
        <c:gapWidth val="65"/>
        <c:shape val="box"/>
        <c:axId val="225590784"/>
        <c:axId val="225089728"/>
        <c:axId val="0"/>
        <c:extLst>
          <c:ext xmlns:c15="http://schemas.microsoft.com/office/drawing/2012/chart" uri="{02D57815-91ED-43cb-92C2-25804820EDAC}">
            <c15:filteredBarSeries>
              <c15:ser>
                <c:idx val="0"/>
                <c:order val="0"/>
                <c:tx>
                  <c:strRef>
                    <c:extLst>
                      <c:ext uri="{02D57815-91ED-43cb-92C2-25804820EDAC}">
                        <c15:formulaRef>
                          <c15:sqref>RESULTADOS!$A$32</c15:sqref>
                        </c15:formulaRef>
                      </c:ext>
                    </c:extLst>
                    <c:strCache>
                      <c:ptCount val="1"/>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extLst>
                      <c:ext uri="{02D57815-91ED-43cb-92C2-25804820EDAC}">
                        <c15:formulaRef>
                          <c15:sqref>RESULTADOS!$B$31:$D$31</c15:sqref>
                        </c15:formulaRef>
                      </c:ext>
                    </c:extLst>
                    <c:strCache>
                      <c:ptCount val="3"/>
                      <c:pt idx="0">
                        <c:v>Modelo sin estrategia</c:v>
                      </c:pt>
                      <c:pt idx="1">
                        <c:v>Modelo estrategia 1</c:v>
                      </c:pt>
                      <c:pt idx="2">
                        <c:v>Modelo estrategia 2</c:v>
                      </c:pt>
                    </c:strCache>
                  </c:strRef>
                </c:cat>
                <c:val>
                  <c:numRef>
                    <c:extLst>
                      <c:ext uri="{02D57815-91ED-43cb-92C2-25804820EDAC}">
                        <c15:formulaRef>
                          <c15:sqref>RESULTADOS!$B$32:$D$32</c15:sqref>
                        </c15:formulaRef>
                      </c:ext>
                    </c:extLst>
                    <c:numCache>
                      <c:formatCode>General</c:formatCode>
                      <c:ptCount val="3"/>
                    </c:numCache>
                  </c:numRef>
                </c:val>
                <c:extLst>
                  <c:ext xmlns:c16="http://schemas.microsoft.com/office/drawing/2014/chart" uri="{C3380CC4-5D6E-409C-BE32-E72D297353CC}">
                    <c16:uniqueId val="{00000000-D879-441D-9804-2C01212043BC}"/>
                  </c:ext>
                </c:extLst>
              </c15:ser>
            </c15:filteredBarSeries>
          </c:ext>
        </c:extLst>
      </c:bar3DChart>
      <c:catAx>
        <c:axId val="22559078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25089728"/>
        <c:crosses val="autoZero"/>
        <c:auto val="1"/>
        <c:lblAlgn val="ctr"/>
        <c:lblOffset val="100"/>
        <c:noMultiLvlLbl val="0"/>
      </c:catAx>
      <c:valAx>
        <c:axId val="225089728"/>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22559078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MODELO CON ESTRATEGIA 2'!A1"/><Relationship Id="rId13" Type="http://schemas.openxmlformats.org/officeDocument/2006/relationships/image" Target="../media/image4.svg"/><Relationship Id="rId18" Type="http://schemas.openxmlformats.org/officeDocument/2006/relationships/image" Target="../media/image9.png"/><Relationship Id="rId3" Type="http://schemas.openxmlformats.org/officeDocument/2006/relationships/hyperlink" Target="#'CASH FLOW'!A1"/><Relationship Id="rId7" Type="http://schemas.openxmlformats.org/officeDocument/2006/relationships/hyperlink" Target="#'FCL ESTRATEGIA 2'!A1"/><Relationship Id="rId12" Type="http://schemas.openxmlformats.org/officeDocument/2006/relationships/image" Target="../media/image3.png"/><Relationship Id="rId17" Type="http://schemas.openxmlformats.org/officeDocument/2006/relationships/image" Target="../media/image8.svg"/><Relationship Id="rId2" Type="http://schemas.openxmlformats.org/officeDocument/2006/relationships/hyperlink" Target="#PYG!A1"/><Relationship Id="rId16" Type="http://schemas.openxmlformats.org/officeDocument/2006/relationships/image" Target="../media/image7.png"/><Relationship Id="rId1" Type="http://schemas.openxmlformats.org/officeDocument/2006/relationships/hyperlink" Target="#BALANCE!A1"/><Relationship Id="rId6" Type="http://schemas.openxmlformats.org/officeDocument/2006/relationships/hyperlink" Target="#'MODELO CON ESTRATEGIA 1'!A1"/><Relationship Id="rId11" Type="http://schemas.openxmlformats.org/officeDocument/2006/relationships/image" Target="../media/image2.svg"/><Relationship Id="rId5" Type="http://schemas.openxmlformats.org/officeDocument/2006/relationships/hyperlink" Target="#'FCL ESTRATEGIA 1'!A1"/><Relationship Id="rId15" Type="http://schemas.openxmlformats.org/officeDocument/2006/relationships/image" Target="../media/image6.svg"/><Relationship Id="rId10" Type="http://schemas.openxmlformats.org/officeDocument/2006/relationships/image" Target="../media/image1.png"/><Relationship Id="rId19" Type="http://schemas.openxmlformats.org/officeDocument/2006/relationships/image" Target="../media/image10.svg"/><Relationship Id="rId4" Type="http://schemas.openxmlformats.org/officeDocument/2006/relationships/hyperlink" Target="#'MODELO SIN ESTRATEGIA '!A1"/><Relationship Id="rId9" Type="http://schemas.openxmlformats.org/officeDocument/2006/relationships/hyperlink" Target="#RESULTADOS!A1"/><Relationship Id="rId14"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pixabay.com/es/bot%C3%B3n-inicio-parada-en-fuera-pc-305751/" TargetMode="External"/><Relationship Id="rId5" Type="http://schemas.openxmlformats.org/officeDocument/2006/relationships/image" Target="../media/image12.png"/><Relationship Id="rId4" Type="http://schemas.openxmlformats.org/officeDocument/2006/relationships/hyperlink" Target="#Men&#250;!A1"/></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Men&#250;!A1"/><Relationship Id="rId1" Type="http://schemas.openxmlformats.org/officeDocument/2006/relationships/image" Target="../media/image11.jpeg"/><Relationship Id="rId4" Type="http://schemas.openxmlformats.org/officeDocument/2006/relationships/hyperlink" Target="https://pixabay.com/es/bot%C3%B3n-inicio-parada-en-fuera-pc-305751/"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Men&#250;!A1"/><Relationship Id="rId1" Type="http://schemas.openxmlformats.org/officeDocument/2006/relationships/image" Target="../media/image11.jpeg"/><Relationship Id="rId4" Type="http://schemas.openxmlformats.org/officeDocument/2006/relationships/hyperlink" Target="https://pixabay.com/es/bot%C3%B3n-inicio-parada-en-fuera-pc-305751/"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pixabay.com/es/bot%C3%B3n-inicio-parada-en-fuera-pc-305751/" TargetMode="External"/><Relationship Id="rId2" Type="http://schemas.openxmlformats.org/officeDocument/2006/relationships/image" Target="../media/image12.png"/><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11.jpeg"/><Relationship Id="rId1" Type="http://schemas.openxmlformats.org/officeDocument/2006/relationships/image" Target="../media/image13.png"/><Relationship Id="rId5" Type="http://schemas.openxmlformats.org/officeDocument/2006/relationships/hyperlink" Target="https://pixabay.com/es/bot%C3%B3n-inicio-parada-en-fuera-pc-305751/" TargetMode="External"/><Relationship Id="rId4"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hyperlink" Target="https://pixabay.com/es/bot%C3%B3n-inicio-parada-en-fuera-pc-305751/" TargetMode="External"/><Relationship Id="rId2" Type="http://schemas.openxmlformats.org/officeDocument/2006/relationships/image" Target="../media/image12.png"/><Relationship Id="rId1"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11.jpeg"/><Relationship Id="rId1" Type="http://schemas.openxmlformats.org/officeDocument/2006/relationships/image" Target="../media/image13.png"/><Relationship Id="rId5" Type="http://schemas.openxmlformats.org/officeDocument/2006/relationships/hyperlink" Target="https://pixabay.com/es/bot%C3%B3n-inicio-parada-en-fuera-pc-305751/" TargetMode="External"/><Relationship Id="rId4" Type="http://schemas.openxmlformats.org/officeDocument/2006/relationships/image" Target="../media/image12.png"/></Relationships>
</file>

<file path=xl/drawings/_rels/drawing8.xml.rels><?xml version="1.0" encoding="UTF-8" standalone="yes"?>
<Relationships xmlns="http://schemas.openxmlformats.org/package/2006/relationships"><Relationship Id="rId3" Type="http://schemas.openxmlformats.org/officeDocument/2006/relationships/hyperlink" Target="https://pixabay.com/es/bot%C3%B3n-inicio-parada-en-fuera-pc-305751/" TargetMode="External"/><Relationship Id="rId2" Type="http://schemas.openxmlformats.org/officeDocument/2006/relationships/image" Target="../media/image12.png"/><Relationship Id="rId1" Type="http://schemas.openxmlformats.org/officeDocument/2006/relationships/hyperlink" Target="#Men&#250;!A1"/></Relationships>
</file>

<file path=xl/drawings/_rels/drawing9.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3.png"/><Relationship Id="rId1" Type="http://schemas.openxmlformats.org/officeDocument/2006/relationships/image" Target="../media/image14.jpeg"/><Relationship Id="rId6" Type="http://schemas.openxmlformats.org/officeDocument/2006/relationships/hyperlink" Target="https://pixabay.com/es/bot%C3%B3n-inicio-parada-en-fuera-pc-305751/" TargetMode="External"/><Relationship Id="rId5" Type="http://schemas.openxmlformats.org/officeDocument/2006/relationships/image" Target="../media/image12.png"/><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xdr:from>
      <xdr:col>1</xdr:col>
      <xdr:colOff>685799</xdr:colOff>
      <xdr:row>1</xdr:row>
      <xdr:rowOff>161925</xdr:rowOff>
    </xdr:from>
    <xdr:to>
      <xdr:col>14</xdr:col>
      <xdr:colOff>295274</xdr:colOff>
      <xdr:row>7</xdr:row>
      <xdr:rowOff>76201</xdr:rowOff>
    </xdr:to>
    <xdr:sp macro="" textlink="">
      <xdr:nvSpPr>
        <xdr:cNvPr id="2" name="Rectángulo: esquinas redondeadas 1">
          <a:extLst>
            <a:ext uri="{FF2B5EF4-FFF2-40B4-BE49-F238E27FC236}">
              <a16:creationId xmlns:a16="http://schemas.microsoft.com/office/drawing/2014/main" id="{21FA5286-9B8C-4F31-8718-D1768A06FE98}"/>
            </a:ext>
          </a:extLst>
        </xdr:cNvPr>
        <xdr:cNvSpPr/>
      </xdr:nvSpPr>
      <xdr:spPr>
        <a:xfrm>
          <a:off x="1447799" y="352425"/>
          <a:ext cx="9515475" cy="105727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4800">
              <a:latin typeface="Arial Narrow" panose="020B0606020202030204" pitchFamily="34" charset="0"/>
            </a:rPr>
            <a:t>Modelo estrategias de valor Cavca Ltda.</a:t>
          </a:r>
        </a:p>
      </xdr:txBody>
    </xdr:sp>
    <xdr:clientData/>
  </xdr:twoCellAnchor>
  <xdr:twoCellAnchor>
    <xdr:from>
      <xdr:col>2</xdr:col>
      <xdr:colOff>171450</xdr:colOff>
      <xdr:row>8</xdr:row>
      <xdr:rowOff>28575</xdr:rowOff>
    </xdr:from>
    <xdr:to>
      <xdr:col>4</xdr:col>
      <xdr:colOff>219075</xdr:colOff>
      <xdr:row>12</xdr:row>
      <xdr:rowOff>38100</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B91F34DF-602A-4364-A906-167346AE524A}"/>
            </a:ext>
          </a:extLst>
        </xdr:cNvPr>
        <xdr:cNvSpPr/>
      </xdr:nvSpPr>
      <xdr:spPr>
        <a:xfrm>
          <a:off x="1695450" y="1552575"/>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Balance Cavca Ltda</a:t>
          </a:r>
        </a:p>
      </xdr:txBody>
    </xdr:sp>
    <xdr:clientData/>
  </xdr:twoCellAnchor>
  <xdr:twoCellAnchor>
    <xdr:from>
      <xdr:col>2</xdr:col>
      <xdr:colOff>190500</xdr:colOff>
      <xdr:row>13</xdr:row>
      <xdr:rowOff>0</xdr:rowOff>
    </xdr:from>
    <xdr:to>
      <xdr:col>4</xdr:col>
      <xdr:colOff>238125</xdr:colOff>
      <xdr:row>17</xdr:row>
      <xdr:rowOff>9525</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533FF044-67D4-4518-B51B-AC27CBC63C80}"/>
            </a:ext>
          </a:extLst>
        </xdr:cNvPr>
        <xdr:cNvSpPr/>
      </xdr:nvSpPr>
      <xdr:spPr>
        <a:xfrm>
          <a:off x="1714500" y="24765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Py G Cavca Ltda</a:t>
          </a:r>
        </a:p>
      </xdr:txBody>
    </xdr:sp>
    <xdr:clientData/>
  </xdr:twoCellAnchor>
  <xdr:twoCellAnchor>
    <xdr:from>
      <xdr:col>2</xdr:col>
      <xdr:colOff>190500</xdr:colOff>
      <xdr:row>17</xdr:row>
      <xdr:rowOff>152400</xdr:rowOff>
    </xdr:from>
    <xdr:to>
      <xdr:col>4</xdr:col>
      <xdr:colOff>238125</xdr:colOff>
      <xdr:row>21</xdr:row>
      <xdr:rowOff>161925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1FCD6E07-4A86-4401-B9ED-145F29904865}"/>
            </a:ext>
          </a:extLst>
        </xdr:cNvPr>
        <xdr:cNvSpPr/>
      </xdr:nvSpPr>
      <xdr:spPr>
        <a:xfrm>
          <a:off x="1714500" y="33909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Cash Flow</a:t>
          </a:r>
        </a:p>
      </xdr:txBody>
    </xdr:sp>
    <xdr:clientData/>
  </xdr:twoCellAnchor>
  <xdr:twoCellAnchor>
    <xdr:from>
      <xdr:col>7</xdr:col>
      <xdr:colOff>219075</xdr:colOff>
      <xdr:row>8</xdr:row>
      <xdr:rowOff>66675</xdr:rowOff>
    </xdr:from>
    <xdr:to>
      <xdr:col>9</xdr:col>
      <xdr:colOff>266700</xdr:colOff>
      <xdr:row>12</xdr:row>
      <xdr:rowOff>76200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D74D499D-9B45-45C4-A716-9128E625EE42}"/>
            </a:ext>
          </a:extLst>
        </xdr:cNvPr>
        <xdr:cNvSpPr/>
      </xdr:nvSpPr>
      <xdr:spPr>
        <a:xfrm>
          <a:off x="5553075" y="1590675"/>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Modelo</a:t>
          </a:r>
          <a:r>
            <a:rPr lang="es-CO" sz="1800" baseline="0">
              <a:solidFill>
                <a:srgbClr val="002060"/>
              </a:solidFill>
            </a:rPr>
            <a:t> sin estrategia</a:t>
          </a:r>
          <a:endParaRPr lang="es-CO" sz="1800">
            <a:solidFill>
              <a:srgbClr val="002060"/>
            </a:solidFill>
          </a:endParaRPr>
        </a:p>
      </xdr:txBody>
    </xdr:sp>
    <xdr:clientData/>
  </xdr:twoCellAnchor>
  <xdr:twoCellAnchor>
    <xdr:from>
      <xdr:col>7</xdr:col>
      <xdr:colOff>228600</xdr:colOff>
      <xdr:row>13</xdr:row>
      <xdr:rowOff>28575</xdr:rowOff>
    </xdr:from>
    <xdr:to>
      <xdr:col>9</xdr:col>
      <xdr:colOff>276225</xdr:colOff>
      <xdr:row>17</xdr:row>
      <xdr:rowOff>38100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DB5AC422-D9AE-4825-BAE9-D16C77746D42}"/>
            </a:ext>
          </a:extLst>
        </xdr:cNvPr>
        <xdr:cNvSpPr/>
      </xdr:nvSpPr>
      <xdr:spPr>
        <a:xfrm>
          <a:off x="5562600" y="2505075"/>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Flujo Estrategia #1</a:t>
          </a:r>
        </a:p>
      </xdr:txBody>
    </xdr:sp>
    <xdr:clientData/>
  </xdr:twoCellAnchor>
  <xdr:twoCellAnchor>
    <xdr:from>
      <xdr:col>7</xdr:col>
      <xdr:colOff>238125</xdr:colOff>
      <xdr:row>18</xdr:row>
      <xdr:rowOff>19050</xdr:rowOff>
    </xdr:from>
    <xdr:to>
      <xdr:col>9</xdr:col>
      <xdr:colOff>285750</xdr:colOff>
      <xdr:row>22</xdr:row>
      <xdr:rowOff>28575</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1C9123B3-9C6F-480B-BAE9-155B6D1B59B7}"/>
            </a:ext>
          </a:extLst>
        </xdr:cNvPr>
        <xdr:cNvSpPr/>
      </xdr:nvSpPr>
      <xdr:spPr>
        <a:xfrm>
          <a:off x="5572125" y="344805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Modelo Estrategia #1</a:t>
          </a:r>
        </a:p>
      </xdr:txBody>
    </xdr:sp>
    <xdr:clientData/>
  </xdr:twoCellAnchor>
  <xdr:twoCellAnchor>
    <xdr:from>
      <xdr:col>11</xdr:col>
      <xdr:colOff>590550</xdr:colOff>
      <xdr:row>8</xdr:row>
      <xdr:rowOff>57150</xdr:rowOff>
    </xdr:from>
    <xdr:to>
      <xdr:col>13</xdr:col>
      <xdr:colOff>638175</xdr:colOff>
      <xdr:row>12</xdr:row>
      <xdr:rowOff>66675</xdr:rowOff>
    </xdr:to>
    <xdr:sp macro="" textlink="">
      <xdr:nvSpPr>
        <xdr:cNvPr id="18" name="Rectángulo: esquinas redondeadas 17">
          <a:hlinkClick xmlns:r="http://schemas.openxmlformats.org/officeDocument/2006/relationships" r:id="rId7"/>
          <a:extLst>
            <a:ext uri="{FF2B5EF4-FFF2-40B4-BE49-F238E27FC236}">
              <a16:creationId xmlns:a16="http://schemas.microsoft.com/office/drawing/2014/main" id="{D66C8CA1-CC40-41FE-A67B-4686AD0270CD}"/>
            </a:ext>
          </a:extLst>
        </xdr:cNvPr>
        <xdr:cNvSpPr/>
      </xdr:nvSpPr>
      <xdr:spPr>
        <a:xfrm>
          <a:off x="8972550" y="158115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CO" sz="1800">
              <a:solidFill>
                <a:srgbClr val="002060"/>
              </a:solidFill>
              <a:effectLst/>
              <a:latin typeface="+mn-lt"/>
              <a:ea typeface="+mn-ea"/>
              <a:cs typeface="+mn-cs"/>
            </a:rPr>
            <a:t>Flujo Estrategia #2</a:t>
          </a:r>
          <a:endParaRPr lang="es-CO" sz="1800">
            <a:solidFill>
              <a:srgbClr val="002060"/>
            </a:solidFill>
            <a:effectLst/>
          </a:endParaRPr>
        </a:p>
      </xdr:txBody>
    </xdr:sp>
    <xdr:clientData/>
  </xdr:twoCellAnchor>
  <xdr:twoCellAnchor>
    <xdr:from>
      <xdr:col>11</xdr:col>
      <xdr:colOff>590550</xdr:colOff>
      <xdr:row>13</xdr:row>
      <xdr:rowOff>28575</xdr:rowOff>
    </xdr:from>
    <xdr:to>
      <xdr:col>13</xdr:col>
      <xdr:colOff>638175</xdr:colOff>
      <xdr:row>17</xdr:row>
      <xdr:rowOff>38100</xdr:rowOff>
    </xdr:to>
    <xdr:sp macro="" textlink="">
      <xdr:nvSpPr>
        <xdr:cNvPr id="19" name="Rectángulo: esquinas redondeadas 18">
          <a:hlinkClick xmlns:r="http://schemas.openxmlformats.org/officeDocument/2006/relationships" r:id="rId8"/>
          <a:extLst>
            <a:ext uri="{FF2B5EF4-FFF2-40B4-BE49-F238E27FC236}">
              <a16:creationId xmlns:a16="http://schemas.microsoft.com/office/drawing/2014/main" id="{224CD839-BB1C-4CB4-876F-32D508D7D74C}"/>
            </a:ext>
          </a:extLst>
        </xdr:cNvPr>
        <xdr:cNvSpPr/>
      </xdr:nvSpPr>
      <xdr:spPr>
        <a:xfrm>
          <a:off x="8972550" y="2505075"/>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Modelo Estrategia</a:t>
          </a:r>
          <a:r>
            <a:rPr lang="es-CO" sz="1800" baseline="0">
              <a:solidFill>
                <a:srgbClr val="002060"/>
              </a:solidFill>
            </a:rPr>
            <a:t> #2</a:t>
          </a:r>
          <a:endParaRPr lang="es-CO" sz="1800">
            <a:solidFill>
              <a:srgbClr val="002060"/>
            </a:solidFill>
          </a:endParaRPr>
        </a:p>
      </xdr:txBody>
    </xdr:sp>
    <xdr:clientData/>
  </xdr:twoCellAnchor>
  <xdr:twoCellAnchor>
    <xdr:from>
      <xdr:col>11</xdr:col>
      <xdr:colOff>600075</xdr:colOff>
      <xdr:row>17</xdr:row>
      <xdr:rowOff>171450</xdr:rowOff>
    </xdr:from>
    <xdr:to>
      <xdr:col>13</xdr:col>
      <xdr:colOff>647700</xdr:colOff>
      <xdr:row>21</xdr:row>
      <xdr:rowOff>180975</xdr:rowOff>
    </xdr:to>
    <xdr:sp macro="" textlink="">
      <xdr:nvSpPr>
        <xdr:cNvPr id="20" name="Rectángulo: esquinas redondeadas 19">
          <a:hlinkClick xmlns:r="http://schemas.openxmlformats.org/officeDocument/2006/relationships" r:id="rId9"/>
          <a:extLst>
            <a:ext uri="{FF2B5EF4-FFF2-40B4-BE49-F238E27FC236}">
              <a16:creationId xmlns:a16="http://schemas.microsoft.com/office/drawing/2014/main" id="{7E6E9B49-FD11-4197-9DF8-262F599177EB}"/>
            </a:ext>
          </a:extLst>
        </xdr:cNvPr>
        <xdr:cNvSpPr/>
      </xdr:nvSpPr>
      <xdr:spPr>
        <a:xfrm>
          <a:off x="8982075" y="340995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Resultados</a:t>
          </a:r>
        </a:p>
      </xdr:txBody>
    </xdr:sp>
    <xdr:clientData/>
  </xdr:twoCellAnchor>
  <xdr:twoCellAnchor editAs="oneCell">
    <xdr:from>
      <xdr:col>4</xdr:col>
      <xdr:colOff>428625</xdr:colOff>
      <xdr:row>7</xdr:row>
      <xdr:rowOff>57150</xdr:rowOff>
    </xdr:from>
    <xdr:to>
      <xdr:col>6</xdr:col>
      <xdr:colOff>109575</xdr:colOff>
      <xdr:row>13</xdr:row>
      <xdr:rowOff>119100</xdr:rowOff>
    </xdr:to>
    <xdr:pic>
      <xdr:nvPicPr>
        <xdr:cNvPr id="21" name="Gráfico 20" descr="Badge Tick1 con relleno sólido">
          <a:extLst>
            <a:ext uri="{FF2B5EF4-FFF2-40B4-BE49-F238E27FC236}">
              <a16:creationId xmlns:a16="http://schemas.microsoft.com/office/drawing/2014/main" id="{A1511F5E-BB4C-4742-A47E-F4F91331AD0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476625" y="1390650"/>
          <a:ext cx="1204950" cy="1204950"/>
        </a:xfrm>
        <a:prstGeom prst="rect">
          <a:avLst/>
        </a:prstGeom>
      </xdr:spPr>
    </xdr:pic>
    <xdr:clientData/>
  </xdr:twoCellAnchor>
  <xdr:twoCellAnchor editAs="oneCell">
    <xdr:from>
      <xdr:col>4</xdr:col>
      <xdr:colOff>419100</xdr:colOff>
      <xdr:row>14</xdr:row>
      <xdr:rowOff>76200</xdr:rowOff>
    </xdr:from>
    <xdr:to>
      <xdr:col>6</xdr:col>
      <xdr:colOff>228600</xdr:colOff>
      <xdr:row>21</xdr:row>
      <xdr:rowOff>76200</xdr:rowOff>
    </xdr:to>
    <xdr:pic>
      <xdr:nvPicPr>
        <xdr:cNvPr id="22" name="Gráfico 21" descr="Alarma sonando contorno">
          <a:extLst>
            <a:ext uri="{FF2B5EF4-FFF2-40B4-BE49-F238E27FC236}">
              <a16:creationId xmlns:a16="http://schemas.microsoft.com/office/drawing/2014/main" id="{81AD9AE9-FE7B-47F2-BC75-B8616C4CB92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3467100" y="2743200"/>
          <a:ext cx="1333500" cy="1333500"/>
        </a:xfrm>
        <a:prstGeom prst="rect">
          <a:avLst/>
        </a:prstGeom>
      </xdr:spPr>
    </xdr:pic>
    <xdr:clientData/>
  </xdr:twoCellAnchor>
  <xdr:twoCellAnchor editAs="oneCell">
    <xdr:from>
      <xdr:col>9</xdr:col>
      <xdr:colOff>504825</xdr:colOff>
      <xdr:row>8</xdr:row>
      <xdr:rowOff>47625</xdr:rowOff>
    </xdr:from>
    <xdr:to>
      <xdr:col>11</xdr:col>
      <xdr:colOff>200026</xdr:colOff>
      <xdr:row>15</xdr:row>
      <xdr:rowOff>161925</xdr:rowOff>
    </xdr:to>
    <xdr:pic>
      <xdr:nvPicPr>
        <xdr:cNvPr id="23" name="Gráfico 22" descr="Lista de comprobación con relleno sólido">
          <a:extLst>
            <a:ext uri="{FF2B5EF4-FFF2-40B4-BE49-F238E27FC236}">
              <a16:creationId xmlns:a16="http://schemas.microsoft.com/office/drawing/2014/main" id="{369DAB04-A4DB-438B-91BF-728B46278FD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362825" y="1571625"/>
          <a:ext cx="1219201" cy="1447800"/>
        </a:xfrm>
        <a:prstGeom prst="rect">
          <a:avLst/>
        </a:prstGeom>
      </xdr:spPr>
    </xdr:pic>
    <xdr:clientData/>
  </xdr:twoCellAnchor>
  <xdr:twoCellAnchor editAs="oneCell">
    <xdr:from>
      <xdr:col>9</xdr:col>
      <xdr:colOff>476250</xdr:colOff>
      <xdr:row>15</xdr:row>
      <xdr:rowOff>47625</xdr:rowOff>
    </xdr:from>
    <xdr:to>
      <xdr:col>11</xdr:col>
      <xdr:colOff>514351</xdr:colOff>
      <xdr:row>23</xdr:row>
      <xdr:rowOff>85726</xdr:rowOff>
    </xdr:to>
    <xdr:pic>
      <xdr:nvPicPr>
        <xdr:cNvPr id="24" name="Gráfico 23" descr="Crecimiento empresarial con relleno sólido">
          <a:extLst>
            <a:ext uri="{FF2B5EF4-FFF2-40B4-BE49-F238E27FC236}">
              <a16:creationId xmlns:a16="http://schemas.microsoft.com/office/drawing/2014/main" id="{1A96DC27-E0EF-4216-9036-11F27280F5B3}"/>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334250" y="2905125"/>
          <a:ext cx="1562101" cy="1562101"/>
        </a:xfrm>
        <a:prstGeom prst="rect">
          <a:avLst/>
        </a:prstGeom>
      </xdr:spPr>
    </xdr:pic>
    <xdr:clientData/>
  </xdr:twoCellAnchor>
  <xdr:twoCellAnchor editAs="oneCell">
    <xdr:from>
      <xdr:col>14</xdr:col>
      <xdr:colOff>28574</xdr:colOff>
      <xdr:row>10</xdr:row>
      <xdr:rowOff>38099</xdr:rowOff>
    </xdr:from>
    <xdr:to>
      <xdr:col>16</xdr:col>
      <xdr:colOff>190499</xdr:colOff>
      <xdr:row>19</xdr:row>
      <xdr:rowOff>9524</xdr:rowOff>
    </xdr:to>
    <xdr:pic>
      <xdr:nvPicPr>
        <xdr:cNvPr id="25" name="Gráfico 24" descr="Conexiones contorno">
          <a:extLst>
            <a:ext uri="{FF2B5EF4-FFF2-40B4-BE49-F238E27FC236}">
              <a16:creationId xmlns:a16="http://schemas.microsoft.com/office/drawing/2014/main" id="{8FE9ADE8-CE2E-46DD-8EFA-D864C36D4C08}"/>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0696574" y="1943099"/>
          <a:ext cx="1685925" cy="1685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723900</xdr:colOff>
      <xdr:row>0</xdr:row>
      <xdr:rowOff>52387</xdr:rowOff>
    </xdr:from>
    <xdr:to>
      <xdr:col>12</xdr:col>
      <xdr:colOff>571500</xdr:colOff>
      <xdr:row>20</xdr:row>
      <xdr:rowOff>104775</xdr:rowOff>
    </xdr:to>
    <xdr:graphicFrame macro="">
      <xdr:nvGraphicFramePr>
        <xdr:cNvPr id="2" name="Gráfico 1">
          <a:extLst>
            <a:ext uri="{FF2B5EF4-FFF2-40B4-BE49-F238E27FC236}">
              <a16:creationId xmlns:a16="http://schemas.microsoft.com/office/drawing/2014/main" id="{72EE8A8F-42CC-4DEF-AC2F-6DB8376080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733984</xdr:colOff>
      <xdr:row>21</xdr:row>
      <xdr:rowOff>1120</xdr:rowOff>
    </xdr:from>
    <xdr:to>
      <xdr:col>12</xdr:col>
      <xdr:colOff>560294</xdr:colOff>
      <xdr:row>39</xdr:row>
      <xdr:rowOff>33618</xdr:rowOff>
    </xdr:to>
    <xdr:graphicFrame macro="">
      <xdr:nvGraphicFramePr>
        <xdr:cNvPr id="3" name="Gráfico 2">
          <a:extLst>
            <a:ext uri="{FF2B5EF4-FFF2-40B4-BE49-F238E27FC236}">
              <a16:creationId xmlns:a16="http://schemas.microsoft.com/office/drawing/2014/main" id="{903BA68C-930E-4758-BBAA-AEB1BB1328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5600</xdr:colOff>
      <xdr:row>39</xdr:row>
      <xdr:rowOff>135590</xdr:rowOff>
    </xdr:from>
    <xdr:to>
      <xdr:col>12</xdr:col>
      <xdr:colOff>549087</xdr:colOff>
      <xdr:row>57</xdr:row>
      <xdr:rowOff>134469</xdr:rowOff>
    </xdr:to>
    <xdr:graphicFrame macro="">
      <xdr:nvGraphicFramePr>
        <xdr:cNvPr id="4" name="Gráfico 3">
          <a:extLst>
            <a:ext uri="{FF2B5EF4-FFF2-40B4-BE49-F238E27FC236}">
              <a16:creationId xmlns:a16="http://schemas.microsoft.com/office/drawing/2014/main" id="{FE654253-717C-4FC9-B161-B1E8C0AC2D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14</xdr:col>
      <xdr:colOff>0</xdr:colOff>
      <xdr:row>0</xdr:row>
      <xdr:rowOff>0</xdr:rowOff>
    </xdr:from>
    <xdr:to>
      <xdr:col>14</xdr:col>
      <xdr:colOff>578174</xdr:colOff>
      <xdr:row>3</xdr:row>
      <xdr:rowOff>33618</xdr:rowOff>
    </xdr:to>
    <xdr:pic>
      <xdr:nvPicPr>
        <xdr:cNvPr id="5" name="Imagen 4">
          <a:hlinkClick xmlns:r="http://schemas.openxmlformats.org/officeDocument/2006/relationships" r:id="rId4"/>
          <a:extLst>
            <a:ext uri="{FF2B5EF4-FFF2-40B4-BE49-F238E27FC236}">
              <a16:creationId xmlns:a16="http://schemas.microsoft.com/office/drawing/2014/main" id="{5EA5E5A1-E17F-45A6-9A78-431127AB7F6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837473B0-CC2E-450A-ABE3-18F120FF3D39}">
              <a1611:picAttrSrcUrl xmlns:a1611="http://schemas.microsoft.com/office/drawing/2016/11/main" r:id="rId6"/>
            </a:ext>
          </a:extLst>
        </a:blip>
        <a:stretch>
          <a:fillRect/>
        </a:stretch>
      </xdr:blipFill>
      <xdr:spPr>
        <a:xfrm>
          <a:off x="16618324" y="0"/>
          <a:ext cx="578174" cy="60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504825</xdr:colOff>
      <xdr:row>3</xdr:row>
      <xdr:rowOff>161925</xdr:rowOff>
    </xdr:from>
    <xdr:to>
      <xdr:col>0</xdr:col>
      <xdr:colOff>2219325</xdr:colOff>
      <xdr:row>6</xdr:row>
      <xdr:rowOff>142875</xdr:rowOff>
    </xdr:to>
    <xdr:pic>
      <xdr:nvPicPr>
        <xdr:cNvPr id="2" name="1 Imagen" descr="▷ Oferta de empleo en Cavca Ltda | Bolsa de trabajo Colombi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733425"/>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xdr:row>
      <xdr:rowOff>0</xdr:rowOff>
    </xdr:from>
    <xdr:to>
      <xdr:col>10</xdr:col>
      <xdr:colOff>495300</xdr:colOff>
      <xdr:row>3</xdr:row>
      <xdr:rowOff>137382</xdr:rowOff>
    </xdr:to>
    <xdr:pic>
      <xdr:nvPicPr>
        <xdr:cNvPr id="3" name="Imagen 2">
          <a:hlinkClick xmlns:r="http://schemas.openxmlformats.org/officeDocument/2006/relationships" r:id="rId2"/>
          <a:extLst>
            <a:ext uri="{FF2B5EF4-FFF2-40B4-BE49-F238E27FC236}">
              <a16:creationId xmlns:a16="http://schemas.microsoft.com/office/drawing/2014/main" id="{15C1C764-E973-4748-9E39-9F2AA9B8D34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8875059" y="190500"/>
          <a:ext cx="495300" cy="5183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628650</xdr:colOff>
      <xdr:row>3</xdr:row>
      <xdr:rowOff>19050</xdr:rowOff>
    </xdr:from>
    <xdr:to>
      <xdr:col>0</xdr:col>
      <xdr:colOff>2343150</xdr:colOff>
      <xdr:row>6</xdr:row>
      <xdr:rowOff>0</xdr:rowOff>
    </xdr:to>
    <xdr:pic>
      <xdr:nvPicPr>
        <xdr:cNvPr id="2" name="1 Imagen" descr="▷ Oferta de empleo en Cavca Ltda | Bolsa de trabajo Colombi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90550"/>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495300</xdr:colOff>
      <xdr:row>3</xdr:row>
      <xdr:rowOff>137382</xdr:rowOff>
    </xdr:to>
    <xdr:pic>
      <xdr:nvPicPr>
        <xdr:cNvPr id="3" name="Imagen 2">
          <a:hlinkClick xmlns:r="http://schemas.openxmlformats.org/officeDocument/2006/relationships" r:id="rId2"/>
          <a:extLst>
            <a:ext uri="{FF2B5EF4-FFF2-40B4-BE49-F238E27FC236}">
              <a16:creationId xmlns:a16="http://schemas.microsoft.com/office/drawing/2014/main" id="{0B0BB8F8-03CD-4CDE-BEDD-36A35F6A8B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9581029" y="190500"/>
          <a:ext cx="495300" cy="5183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11</xdr:col>
      <xdr:colOff>456471</xdr:colOff>
      <xdr:row>2</xdr:row>
      <xdr:rowOff>114300</xdr:rowOff>
    </xdr:to>
    <xdr:pic>
      <xdr:nvPicPr>
        <xdr:cNvPr id="2" name="Imagen 1">
          <a:hlinkClick xmlns:r="http://schemas.openxmlformats.org/officeDocument/2006/relationships" r:id="rId1"/>
          <a:extLst>
            <a:ext uri="{FF2B5EF4-FFF2-40B4-BE49-F238E27FC236}">
              <a16:creationId xmlns:a16="http://schemas.microsoft.com/office/drawing/2014/main" id="{03A2EA33-0605-402E-AE7D-E063AE5B6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9934575" y="0"/>
          <a:ext cx="456471" cy="495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74</xdr:row>
      <xdr:rowOff>0</xdr:rowOff>
    </xdr:from>
    <xdr:to>
      <xdr:col>20</xdr:col>
      <xdr:colOff>133910</xdr:colOff>
      <xdr:row>76</xdr:row>
      <xdr:rowOff>57150</xdr:rowOff>
    </xdr:to>
    <xdr:pic>
      <xdr:nvPicPr>
        <xdr:cNvPr id="2" name="Imagen 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0" y="14097000"/>
          <a:ext cx="71247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3</xdr:row>
      <xdr:rowOff>95250</xdr:rowOff>
    </xdr:from>
    <xdr:to>
      <xdr:col>0</xdr:col>
      <xdr:colOff>1781175</xdr:colOff>
      <xdr:row>6</xdr:row>
      <xdr:rowOff>76200</xdr:rowOff>
    </xdr:to>
    <xdr:pic>
      <xdr:nvPicPr>
        <xdr:cNvPr id="3" name="2 Imagen" descr="▷ Oferta de empleo en Cavca Ltda | Bolsa de trabajo Colombia">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 y="666750"/>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571500</xdr:colOff>
      <xdr:row>0</xdr:row>
      <xdr:rowOff>123265</xdr:rowOff>
    </xdr:from>
    <xdr:to>
      <xdr:col>5</xdr:col>
      <xdr:colOff>1066800</xdr:colOff>
      <xdr:row>3</xdr:row>
      <xdr:rowOff>70147</xdr:rowOff>
    </xdr:to>
    <xdr:pic>
      <xdr:nvPicPr>
        <xdr:cNvPr id="4" name="Imagen 3">
          <a:hlinkClick xmlns:r="http://schemas.openxmlformats.org/officeDocument/2006/relationships" r:id="rId3"/>
          <a:extLst>
            <a:ext uri="{FF2B5EF4-FFF2-40B4-BE49-F238E27FC236}">
              <a16:creationId xmlns:a16="http://schemas.microsoft.com/office/drawing/2014/main" id="{FBE65D08-C44A-4C5B-894A-5B833FA9B17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837473B0-CC2E-450A-ABE3-18F120FF3D39}">
              <a1611:picAttrSrcUrl xmlns:a1611="http://schemas.microsoft.com/office/drawing/2016/11/main" r:id="rId5"/>
            </a:ext>
          </a:extLst>
        </a:blip>
        <a:stretch>
          <a:fillRect/>
        </a:stretch>
      </xdr:blipFill>
      <xdr:spPr>
        <a:xfrm>
          <a:off x="9412941" y="123265"/>
          <a:ext cx="495300" cy="5183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12</xdr:row>
      <xdr:rowOff>0</xdr:rowOff>
    </xdr:from>
    <xdr:to>
      <xdr:col>6</xdr:col>
      <xdr:colOff>495300</xdr:colOff>
      <xdr:row>14</xdr:row>
      <xdr:rowOff>114971</xdr:rowOff>
    </xdr:to>
    <xdr:pic>
      <xdr:nvPicPr>
        <xdr:cNvPr id="2" name="Imagen 1">
          <a:hlinkClick xmlns:r="http://schemas.openxmlformats.org/officeDocument/2006/relationships" r:id="rId1"/>
          <a:extLst>
            <a:ext uri="{FF2B5EF4-FFF2-40B4-BE49-F238E27FC236}">
              <a16:creationId xmlns:a16="http://schemas.microsoft.com/office/drawing/2014/main" id="{9F5A91C1-F095-4274-93C6-4CB1724F39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9614647" y="2330824"/>
          <a:ext cx="495300" cy="5183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73</xdr:row>
      <xdr:rowOff>0</xdr:rowOff>
    </xdr:from>
    <xdr:to>
      <xdr:col>20</xdr:col>
      <xdr:colOff>609600</xdr:colOff>
      <xdr:row>75</xdr:row>
      <xdr:rowOff>57150</xdr:rowOff>
    </xdr:to>
    <xdr:pic>
      <xdr:nvPicPr>
        <xdr:cNvPr id="2" name="Imagen 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0" y="14097000"/>
          <a:ext cx="71247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3</xdr:row>
      <xdr:rowOff>95250</xdr:rowOff>
    </xdr:from>
    <xdr:to>
      <xdr:col>0</xdr:col>
      <xdr:colOff>1781175</xdr:colOff>
      <xdr:row>6</xdr:row>
      <xdr:rowOff>76200</xdr:rowOff>
    </xdr:to>
    <xdr:pic>
      <xdr:nvPicPr>
        <xdr:cNvPr id="3" name="2 Imagen" descr="▷ Oferta de empleo en Cavca Ltda | Bolsa de trabajo Colombia">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 y="666750"/>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390525</xdr:colOff>
      <xdr:row>0</xdr:row>
      <xdr:rowOff>85725</xdr:rowOff>
    </xdr:from>
    <xdr:to>
      <xdr:col>5</xdr:col>
      <xdr:colOff>885825</xdr:colOff>
      <xdr:row>3</xdr:row>
      <xdr:rowOff>32607</xdr:rowOff>
    </xdr:to>
    <xdr:pic>
      <xdr:nvPicPr>
        <xdr:cNvPr id="4" name="Imagen 3">
          <a:hlinkClick xmlns:r="http://schemas.openxmlformats.org/officeDocument/2006/relationships" r:id="rId3"/>
          <a:extLst>
            <a:ext uri="{FF2B5EF4-FFF2-40B4-BE49-F238E27FC236}">
              <a16:creationId xmlns:a16="http://schemas.microsoft.com/office/drawing/2014/main" id="{E1202B49-FB8C-4A46-830A-2D2AB376B80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837473B0-CC2E-450A-ABE3-18F120FF3D39}">
              <a1611:picAttrSrcUrl xmlns:a1611="http://schemas.microsoft.com/office/drawing/2016/11/main" r:id="rId5"/>
            </a:ext>
          </a:extLst>
        </a:blip>
        <a:stretch>
          <a:fillRect/>
        </a:stretch>
      </xdr:blipFill>
      <xdr:spPr>
        <a:xfrm>
          <a:off x="9220200" y="85725"/>
          <a:ext cx="495300" cy="5183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1378324</xdr:colOff>
      <xdr:row>3</xdr:row>
      <xdr:rowOff>112059</xdr:rowOff>
    </xdr:from>
    <xdr:to>
      <xdr:col>4</xdr:col>
      <xdr:colOff>1873624</xdr:colOff>
      <xdr:row>6</xdr:row>
      <xdr:rowOff>58941</xdr:rowOff>
    </xdr:to>
    <xdr:pic>
      <xdr:nvPicPr>
        <xdr:cNvPr id="2" name="Imagen 1">
          <a:hlinkClick xmlns:r="http://schemas.openxmlformats.org/officeDocument/2006/relationships" r:id="rId1"/>
          <a:extLst>
            <a:ext uri="{FF2B5EF4-FFF2-40B4-BE49-F238E27FC236}">
              <a16:creationId xmlns:a16="http://schemas.microsoft.com/office/drawing/2014/main" id="{93CC32A4-9C00-49E7-AF8E-040A616D04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8146677" y="717177"/>
          <a:ext cx="495300" cy="5183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3</xdr:row>
      <xdr:rowOff>95250</xdr:rowOff>
    </xdr:from>
    <xdr:to>
      <xdr:col>0</xdr:col>
      <xdr:colOff>762000</xdr:colOff>
      <xdr:row>6</xdr:row>
      <xdr:rowOff>76200</xdr:rowOff>
    </xdr:to>
    <xdr:pic>
      <xdr:nvPicPr>
        <xdr:cNvPr id="2" name="1 Imagen" descr="▷ Oferta de empleo en Cavca Ltda | Bolsa de trabajo Colombia">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666750"/>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74</xdr:row>
      <xdr:rowOff>0</xdr:rowOff>
    </xdr:from>
    <xdr:to>
      <xdr:col>18</xdr:col>
      <xdr:colOff>133350</xdr:colOff>
      <xdr:row>76</xdr:row>
      <xdr:rowOff>57150</xdr:rowOff>
    </xdr:to>
    <xdr:pic>
      <xdr:nvPicPr>
        <xdr:cNvPr id="3" name="Imagen 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73250" y="14097000"/>
          <a:ext cx="71247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3</xdr:row>
      <xdr:rowOff>95250</xdr:rowOff>
    </xdr:from>
    <xdr:to>
      <xdr:col>0</xdr:col>
      <xdr:colOff>1781175</xdr:colOff>
      <xdr:row>6</xdr:row>
      <xdr:rowOff>76200</xdr:rowOff>
    </xdr:to>
    <xdr:pic>
      <xdr:nvPicPr>
        <xdr:cNvPr id="4" name="3 Imagen" descr="▷ Oferta de empleo en Cavca Ltda | Bolsa de trabajo Colombia">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666750"/>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342900</xdr:colOff>
      <xdr:row>1</xdr:row>
      <xdr:rowOff>28575</xdr:rowOff>
    </xdr:from>
    <xdr:to>
      <xdr:col>5</xdr:col>
      <xdr:colOff>819150</xdr:colOff>
      <xdr:row>3</xdr:row>
      <xdr:rowOff>146019</xdr:rowOff>
    </xdr:to>
    <xdr:pic>
      <xdr:nvPicPr>
        <xdr:cNvPr id="5" name="Imagen 4">
          <a:hlinkClick xmlns:r="http://schemas.openxmlformats.org/officeDocument/2006/relationships" r:id="rId4"/>
          <a:extLst>
            <a:ext uri="{FF2B5EF4-FFF2-40B4-BE49-F238E27FC236}">
              <a16:creationId xmlns:a16="http://schemas.microsoft.com/office/drawing/2014/main" id="{5AF8CCDA-14B3-4FA8-B36D-979C0E5E0D5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837473B0-CC2E-450A-ABE3-18F120FF3D39}">
              <a1611:picAttrSrcUrl xmlns:a1611="http://schemas.microsoft.com/office/drawing/2016/11/main" r:id="rId6"/>
            </a:ext>
          </a:extLst>
        </a:blip>
        <a:stretch>
          <a:fillRect/>
        </a:stretch>
      </xdr:blipFill>
      <xdr:spPr>
        <a:xfrm>
          <a:off x="9172575" y="219075"/>
          <a:ext cx="476250" cy="4984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GOMEZ/Downloads/Cavca%20Ltda-Modelo%20Valor%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Downloads/Cavca%20Ltda%20Modelo%20de%20Estrategias%20de%20valo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Trabajo%20Final\Cavca%20Ltda-Modelo%20Val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SUPUESTOS"/>
      <sheetName val="CAVCA MENSUAL"/>
      <sheetName val="CAVCA trimestre"/>
      <sheetName val="CAVCA semestre"/>
      <sheetName val="CAVCA anual"/>
      <sheetName val="BALANCE"/>
      <sheetName val="P Y G"/>
      <sheetName val="MODELO VALOR"/>
      <sheetName val="FLUJOS DE CAJA ESTRATEGIAS "/>
      <sheetName val="ESTRATEGIAS"/>
      <sheetName val="CASH FLOW"/>
      <sheetName val="INDICADORES FINANCIEROS"/>
      <sheetName val="WACC"/>
      <sheetName val="GRÁFICAS"/>
    </sheetNames>
    <sheetDataSet>
      <sheetData sheetId="0"/>
      <sheetData sheetId="1">
        <row r="11">
          <cell r="G11">
            <v>0.03</v>
          </cell>
        </row>
      </sheetData>
      <sheetData sheetId="2">
        <row r="12">
          <cell r="BJ12">
            <v>10081583.71772727</v>
          </cell>
        </row>
      </sheetData>
      <sheetData sheetId="3">
        <row r="12">
          <cell r="AO12">
            <v>38906372.020499989</v>
          </cell>
        </row>
      </sheetData>
      <sheetData sheetId="4">
        <row r="12">
          <cell r="AI12">
            <v>100160003</v>
          </cell>
        </row>
      </sheetData>
      <sheetData sheetId="5">
        <row r="12">
          <cell r="AN12">
            <v>-173361730.19999999</v>
          </cell>
        </row>
        <row r="57">
          <cell r="AN57">
            <v>0</v>
          </cell>
          <cell r="AO57">
            <v>0</v>
          </cell>
        </row>
      </sheetData>
      <sheetData sheetId="6">
        <row r="14">
          <cell r="C14">
            <v>441206510</v>
          </cell>
        </row>
      </sheetData>
      <sheetData sheetId="7">
        <row r="10">
          <cell r="C10">
            <v>1262392367</v>
          </cell>
        </row>
      </sheetData>
      <sheetData sheetId="8"/>
      <sheetData sheetId="9"/>
      <sheetData sheetId="10"/>
      <sheetData sheetId="11">
        <row r="77">
          <cell r="C77">
            <v>-468844226</v>
          </cell>
        </row>
      </sheetData>
      <sheetData sheetId="12"/>
      <sheetData sheetId="13">
        <row r="20">
          <cell r="E20">
            <v>0.21679041630894064</v>
          </cell>
        </row>
      </sheetData>
      <sheetData sheetId="14">
        <row r="1">
          <cell r="B1">
            <v>2017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Name val="Cash Flow "/>
      <sheetName val="PYG"/>
      <sheetName val="Modelos Econometricos"/>
    </sheetNames>
    <sheetDataSet>
      <sheetData sheetId="0" refreshError="1"/>
      <sheetData sheetId="1" refreshError="1"/>
      <sheetData sheetId="2">
        <row r="10">
          <cell r="C10">
            <v>1262392367</v>
          </cell>
          <cell r="D10">
            <v>1860941447</v>
          </cell>
          <cell r="E10">
            <v>2869401050</v>
          </cell>
          <cell r="F10">
            <v>3417084270</v>
          </cell>
          <cell r="G10">
            <v>4220588611.5</v>
          </cell>
          <cell r="H10">
            <v>4967842142.7000008</v>
          </cell>
          <cell r="I10">
            <v>5715095673.9000006</v>
          </cell>
          <cell r="J10">
            <v>6462349205.1000004</v>
          </cell>
          <cell r="K10">
            <v>7209602736.3000002</v>
          </cell>
        </row>
        <row r="11">
          <cell r="C11">
            <v>0</v>
          </cell>
          <cell r="D11">
            <v>0</v>
          </cell>
          <cell r="E11">
            <v>1504556463</v>
          </cell>
          <cell r="F11">
            <v>1769012091</v>
          </cell>
          <cell r="G11">
            <v>2521290322.5</v>
          </cell>
          <cell r="H11">
            <v>3202449596.1000004</v>
          </cell>
          <cell r="I11">
            <v>3883608869.6999998</v>
          </cell>
          <cell r="J11">
            <v>4564768143.3000002</v>
          </cell>
          <cell r="K11">
            <v>5245927416.9000006</v>
          </cell>
        </row>
        <row r="14">
          <cell r="C14">
            <v>8381414</v>
          </cell>
          <cell r="D14">
            <v>8895908</v>
          </cell>
          <cell r="E14">
            <v>597205</v>
          </cell>
          <cell r="F14">
            <v>26627619</v>
          </cell>
          <cell r="G14">
            <v>22735514.5</v>
          </cell>
          <cell r="H14">
            <v>27379505.700000003</v>
          </cell>
          <cell r="I14">
            <v>32023496.900000002</v>
          </cell>
          <cell r="J14">
            <v>36667488.100000001</v>
          </cell>
          <cell r="K14">
            <v>41311479.300000004</v>
          </cell>
        </row>
        <row r="15">
          <cell r="C15">
            <v>415544197</v>
          </cell>
          <cell r="D15">
            <v>703521762</v>
          </cell>
          <cell r="E15">
            <v>1174056377</v>
          </cell>
          <cell r="F15">
            <v>1280972049</v>
          </cell>
          <cell r="G15">
            <v>1660228139</v>
          </cell>
          <cell r="H15">
            <v>1966909956.1000001</v>
          </cell>
          <cell r="I15">
            <v>2273591773.2000003</v>
          </cell>
          <cell r="J15">
            <v>2580273590.3000002</v>
          </cell>
          <cell r="K15">
            <v>2886955407.4000001</v>
          </cell>
        </row>
        <row r="16">
          <cell r="C16">
            <v>876221356</v>
          </cell>
          <cell r="D16">
            <v>1175414859</v>
          </cell>
          <cell r="E16">
            <v>5973826</v>
          </cell>
          <cell r="F16">
            <v>62486774</v>
          </cell>
          <cell r="G16">
            <v>-372636991</v>
          </cell>
          <cell r="H16">
            <v>-733701468.89999962</v>
          </cell>
          <cell r="I16">
            <v>-1094765946.7999997</v>
          </cell>
          <cell r="J16">
            <v>-1455830424.6999998</v>
          </cell>
          <cell r="K16">
            <v>-1816894902.5999999</v>
          </cell>
        </row>
        <row r="20">
          <cell r="E20">
            <v>152220</v>
          </cell>
          <cell r="F20">
            <v>4955622</v>
          </cell>
          <cell r="G20">
            <v>5031732</v>
          </cell>
          <cell r="H20">
            <v>6533640.6000000015</v>
          </cell>
          <cell r="I20">
            <v>8035549.2000000011</v>
          </cell>
          <cell r="J20">
            <v>9537457.8000000007</v>
          </cell>
          <cell r="K20">
            <v>11039366.4</v>
          </cell>
        </row>
        <row r="21">
          <cell r="C21">
            <v>29325811</v>
          </cell>
          <cell r="D21">
            <v>19271845</v>
          </cell>
          <cell r="E21">
            <v>22743955</v>
          </cell>
          <cell r="F21">
            <v>22040201</v>
          </cell>
          <cell r="G21">
            <v>18749273</v>
          </cell>
          <cell r="H21">
            <v>16910801</v>
          </cell>
          <cell r="I21">
            <v>15072329</v>
          </cell>
          <cell r="J21">
            <v>13233857</v>
          </cell>
          <cell r="K21">
            <v>11395385</v>
          </cell>
        </row>
        <row r="23">
          <cell r="C23">
            <v>2055000</v>
          </cell>
          <cell r="D23">
            <v>1390000</v>
          </cell>
          <cell r="E23">
            <v>59789000</v>
          </cell>
          <cell r="F23">
            <v>79732000</v>
          </cell>
          <cell r="G23">
            <v>108599000</v>
          </cell>
          <cell r="H23">
            <v>137742000</v>
          </cell>
          <cell r="I23">
            <v>166885000</v>
          </cell>
          <cell r="J23">
            <v>196028000</v>
          </cell>
          <cell r="K23">
            <v>225171000</v>
          </cell>
        </row>
        <row r="25">
          <cell r="C25">
            <v>-52372583</v>
          </cell>
          <cell r="D25">
            <v>-29761111</v>
          </cell>
          <cell r="E25">
            <v>103030854</v>
          </cell>
          <cell r="F25">
            <v>234424396</v>
          </cell>
          <cell r="G25">
            <v>312126114.5</v>
          </cell>
          <cell r="H25">
            <v>411444404.69999993</v>
          </cell>
          <cell r="I25">
            <v>510762694.90000033</v>
          </cell>
          <cell r="J25">
            <v>610080985.09999967</v>
          </cell>
          <cell r="K25">
            <v>709399275.29999936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SUPUESTOS "/>
      <sheetName val="BALANCE"/>
      <sheetName val="PYG"/>
      <sheetName val="CASH FLOW"/>
      <sheetName val="WACC"/>
      <sheetName val="INDICADORES FINANCIEROS "/>
      <sheetName val="GRÁFICAS"/>
      <sheetName val="MODELO CON ESTRATEGIA"/>
      <sheetName val="MODELO SIN ESTRATEGIA "/>
      <sheetName val="FCL ESTRATEGIA 1"/>
      <sheetName val="FCL ESTRATEGIA 2"/>
      <sheetName val="FC ESTRATEGIA 3"/>
      <sheetName val="CUADRO COMPARATIVO "/>
      <sheetName val="Ciclos"/>
    </sheetNames>
    <sheetDataSet>
      <sheetData sheetId="0" refreshError="1"/>
      <sheetData sheetId="1" refreshError="1"/>
      <sheetData sheetId="2" refreshError="1"/>
      <sheetData sheetId="3" refreshError="1"/>
      <sheetData sheetId="4" refreshError="1"/>
      <sheetData sheetId="5">
        <row r="18">
          <cell r="D18">
            <v>0.2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workbookViewId="0"/>
  </sheetViews>
  <sheetFormatPr baseColWidth="10"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79"/>
  <sheetViews>
    <sheetView showGridLines="0" workbookViewId="0">
      <selection activeCell="G10" sqref="G10"/>
    </sheetView>
  </sheetViews>
  <sheetFormatPr baseColWidth="10" defaultRowHeight="15" x14ac:dyDescent="0.25"/>
  <cols>
    <col min="1" max="1" width="58.5703125" style="199" bestFit="1" customWidth="1"/>
    <col min="2" max="2" width="23.140625" style="199" bestFit="1" customWidth="1"/>
    <col min="3" max="3" width="14.5703125" style="199" customWidth="1"/>
    <col min="4" max="4" width="16.85546875" style="199" bestFit="1" customWidth="1"/>
    <col min="5" max="6" width="19.28515625" style="199" bestFit="1" customWidth="1"/>
    <col min="7" max="7" width="18.5703125" style="199" bestFit="1" customWidth="1"/>
    <col min="8" max="8" width="24" style="199" bestFit="1" customWidth="1"/>
    <col min="9" max="9" width="9" style="199" bestFit="1" customWidth="1"/>
    <col min="10" max="13" width="10.140625" style="199" bestFit="1" customWidth="1"/>
    <col min="14" max="16384" width="11.42578125" style="199"/>
  </cols>
  <sheetData>
    <row r="1" spans="1:13" x14ac:dyDescent="0.25">
      <c r="A1" s="200" t="s">
        <v>40</v>
      </c>
    </row>
    <row r="2" spans="1:13" x14ac:dyDescent="0.25">
      <c r="A2" s="200" t="s">
        <v>293</v>
      </c>
    </row>
    <row r="3" spans="1:13" x14ac:dyDescent="0.25">
      <c r="A3" s="200" t="s">
        <v>1</v>
      </c>
    </row>
    <row r="8" spans="1:13" x14ac:dyDescent="0.25">
      <c r="A8" s="363" t="s">
        <v>83</v>
      </c>
      <c r="B8" s="235"/>
    </row>
    <row r="9" spans="1:13" x14ac:dyDescent="0.25">
      <c r="A9" s="363"/>
      <c r="B9" s="201">
        <v>2021</v>
      </c>
      <c r="C9" s="201">
        <v>2022</v>
      </c>
      <c r="D9" s="201">
        <v>2023</v>
      </c>
      <c r="E9" s="201">
        <v>2024</v>
      </c>
      <c r="F9" s="201">
        <v>2025</v>
      </c>
      <c r="H9" s="362" t="s">
        <v>365</v>
      </c>
      <c r="I9" s="362"/>
      <c r="J9" s="362"/>
      <c r="K9" s="362"/>
      <c r="L9" s="362"/>
      <c r="M9" s="362"/>
    </row>
    <row r="10" spans="1:13" x14ac:dyDescent="0.25">
      <c r="A10" s="103" t="s">
        <v>84</v>
      </c>
      <c r="B10" s="202">
        <f>+'FCL ESTRATEGIA 2'!K111</f>
        <v>5045286040.7965412</v>
      </c>
      <c r="C10" s="202">
        <f>+'FCL ESTRATEGIA 2'!L111</f>
        <v>5938551923.1018505</v>
      </c>
      <c r="D10" s="202">
        <f>+'FCL ESTRATEGIA 2'!M111</f>
        <v>6831817805.4071589</v>
      </c>
      <c r="E10" s="202">
        <f>+'FCL ESTRATEGIA 2'!N111</f>
        <v>7725083687.7124662</v>
      </c>
      <c r="F10" s="202">
        <f>+'FCL ESTRATEGIA 2'!O111</f>
        <v>8618349570.0177746</v>
      </c>
      <c r="H10" s="238"/>
      <c r="I10" s="237">
        <v>2021</v>
      </c>
      <c r="J10" s="237">
        <v>2022</v>
      </c>
      <c r="K10" s="237">
        <v>2023</v>
      </c>
      <c r="L10" s="237">
        <v>2024</v>
      </c>
      <c r="M10" s="237">
        <v>2025</v>
      </c>
    </row>
    <row r="11" spans="1:13" x14ac:dyDescent="0.25">
      <c r="A11" s="103" t="s">
        <v>85</v>
      </c>
      <c r="B11" s="202">
        <f>+PYG!G33+'FCL ESTRATEGIA 2'!K92</f>
        <v>2664400462.5</v>
      </c>
      <c r="C11" s="202">
        <f>+PYG!H33+'FCL ESTRATEGIA 2'!L92</f>
        <v>3349395087.8520002</v>
      </c>
      <c r="D11" s="202">
        <f>+PYG!I33+'FCL ESTRATEGIA 2'!M92</f>
        <v>4034492500.6309533</v>
      </c>
      <c r="E11" s="202">
        <f>+PYG!J33+'FCL ESTRATEGIA 2'!N92</f>
        <v>4719695455.5399036</v>
      </c>
      <c r="F11" s="202">
        <f>+PYG!K33+'FCL ESTRATEGIA 2'!O92</f>
        <v>5405006781.107933</v>
      </c>
      <c r="H11" s="202" t="s">
        <v>86</v>
      </c>
      <c r="I11" s="202">
        <f>+B12</f>
        <v>2380885578.2965412</v>
      </c>
      <c r="J11" s="202">
        <f t="shared" ref="J11:M11" si="0">+C12</f>
        <v>2589156835.2498503</v>
      </c>
      <c r="K11" s="202">
        <f t="shared" si="0"/>
        <v>2797325304.7762055</v>
      </c>
      <c r="L11" s="202">
        <f t="shared" si="0"/>
        <v>3005388232.1725626</v>
      </c>
      <c r="M11" s="202">
        <f t="shared" si="0"/>
        <v>3213342788.9098415</v>
      </c>
    </row>
    <row r="12" spans="1:13" x14ac:dyDescent="0.25">
      <c r="A12" s="105" t="s">
        <v>86</v>
      </c>
      <c r="B12" s="239">
        <f>+B10-B11</f>
        <v>2380885578.2965412</v>
      </c>
      <c r="C12" s="239">
        <f>+C10-C11</f>
        <v>2589156835.2498503</v>
      </c>
      <c r="D12" s="239">
        <f>+D10-D11</f>
        <v>2797325304.7762055</v>
      </c>
      <c r="E12" s="239">
        <f>+E10-E11</f>
        <v>3005388232.1725626</v>
      </c>
      <c r="F12" s="239">
        <f>+F10-F11</f>
        <v>3213342788.9098415</v>
      </c>
      <c r="H12" s="202" t="s">
        <v>366</v>
      </c>
      <c r="I12" s="348">
        <f>+B21</f>
        <v>827722403.79654121</v>
      </c>
      <c r="J12" s="348">
        <f t="shared" ref="J12:M12" si="1">+C21</f>
        <v>1107011493.3498502</v>
      </c>
      <c r="K12" s="348">
        <f t="shared" si="1"/>
        <v>1386051274.5162055</v>
      </c>
      <c r="L12" s="348">
        <f t="shared" si="1"/>
        <v>1664835065.8308346</v>
      </c>
      <c r="M12" s="348">
        <f t="shared" si="1"/>
        <v>1943356006.7657154</v>
      </c>
    </row>
    <row r="13" spans="1:13" x14ac:dyDescent="0.25">
      <c r="A13" s="105" t="s">
        <v>87</v>
      </c>
      <c r="B13" s="107">
        <f>+B12/B10</f>
        <v>0.4719029920294967</v>
      </c>
      <c r="C13" s="107">
        <f>+C12/C10</f>
        <v>0.43599127679218314</v>
      </c>
      <c r="D13" s="107">
        <f>+D12/D10</f>
        <v>0.40945548965931361</v>
      </c>
      <c r="E13" s="107">
        <f>+E12/E10</f>
        <v>0.38904280570486754</v>
      </c>
      <c r="F13" s="107">
        <f>+F12/F10</f>
        <v>0.37284897332183919</v>
      </c>
      <c r="H13" s="202" t="s">
        <v>367</v>
      </c>
      <c r="I13" s="202">
        <f>+B24</f>
        <v>612514578.80944049</v>
      </c>
      <c r="J13" s="202">
        <f t="shared" ref="J13:M13" si="2">+C24</f>
        <v>830258620.01238763</v>
      </c>
      <c r="K13" s="202">
        <f t="shared" si="2"/>
        <v>1039538455.8871541</v>
      </c>
      <c r="L13" s="202">
        <f t="shared" si="2"/>
        <v>1265274650.0314343</v>
      </c>
      <c r="M13" s="202">
        <f t="shared" si="2"/>
        <v>1476950565.1419437</v>
      </c>
    </row>
    <row r="14" spans="1:13" x14ac:dyDescent="0.25">
      <c r="A14" s="103" t="s">
        <v>88</v>
      </c>
      <c r="B14" s="202">
        <f>+PYG!G36+'FCL ESTRATEGIA 2'!K83</f>
        <v>1491591148</v>
      </c>
      <c r="C14" s="202">
        <f>+PYG!H36+'FCL ESTRATEGIA 2'!L83</f>
        <v>1442675687.2</v>
      </c>
      <c r="D14" s="202">
        <f>+PYG!I36+'FCL ESTRATEGIA 2'!M83</f>
        <v>1393906747.3600001</v>
      </c>
      <c r="E14" s="202">
        <f>+PYG!J36+'FCL ESTRATEGIA 2'!N83</f>
        <v>1345288255.2417278</v>
      </c>
      <c r="F14" s="202">
        <f>+PYG!K36+'FCL ESTRATEGIA 2'!O83</f>
        <v>1296824242.8441262</v>
      </c>
      <c r="H14" s="202"/>
      <c r="I14" s="237">
        <v>2021</v>
      </c>
      <c r="J14" s="237">
        <v>2022</v>
      </c>
      <c r="K14" s="237">
        <v>2023</v>
      </c>
      <c r="L14" s="237">
        <v>2024</v>
      </c>
      <c r="M14" s="237">
        <v>2025</v>
      </c>
    </row>
    <row r="15" spans="1:13" x14ac:dyDescent="0.25">
      <c r="A15" s="105" t="s">
        <v>89</v>
      </c>
      <c r="B15" s="239">
        <f>+B12-B14</f>
        <v>889294430.29654121</v>
      </c>
      <c r="C15" s="239">
        <f>+C12-C14</f>
        <v>1146481148.0498502</v>
      </c>
      <c r="D15" s="239">
        <f>+D12-D14</f>
        <v>1403418557.4162054</v>
      </c>
      <c r="E15" s="239">
        <f>+E12-E14</f>
        <v>1660099976.9308348</v>
      </c>
      <c r="F15" s="239">
        <f>+F12-F14</f>
        <v>1916518546.0657153</v>
      </c>
      <c r="H15" s="202" t="s">
        <v>86</v>
      </c>
      <c r="I15" s="349">
        <f>+I11/B10</f>
        <v>0.4719029920294967</v>
      </c>
      <c r="J15" s="349">
        <f t="shared" ref="J15:M15" si="3">+J11/C10</f>
        <v>0.43599127679218314</v>
      </c>
      <c r="K15" s="349">
        <f t="shared" si="3"/>
        <v>0.40945548965931361</v>
      </c>
      <c r="L15" s="349">
        <f t="shared" si="3"/>
        <v>0.38904280570486754</v>
      </c>
      <c r="M15" s="349">
        <f t="shared" si="3"/>
        <v>0.37284897332183919</v>
      </c>
    </row>
    <row r="16" spans="1:13" x14ac:dyDescent="0.25">
      <c r="A16" s="105" t="s">
        <v>57</v>
      </c>
      <c r="B16" s="107">
        <f>+B15/B10</f>
        <v>0.17626244044552544</v>
      </c>
      <c r="C16" s="107">
        <f>+C15/C10</f>
        <v>0.19305735857757983</v>
      </c>
      <c r="D16" s="107">
        <f>+D15/D10</f>
        <v>0.20542388532455386</v>
      </c>
      <c r="E16" s="107">
        <f>+E15/E10</f>
        <v>0.21489734532861995</v>
      </c>
      <c r="F16" s="107">
        <f>+F15/F10</f>
        <v>0.22237651542159048</v>
      </c>
      <c r="H16" s="202" t="s">
        <v>366</v>
      </c>
      <c r="I16" s="349">
        <f>+I12/B10</f>
        <v>0.1640585681571905</v>
      </c>
      <c r="J16" s="349">
        <f t="shared" ref="J16:M16" si="4">+J12/C10</f>
        <v>0.1864110152920295</v>
      </c>
      <c r="K16" s="349">
        <f t="shared" si="4"/>
        <v>0.20288176792700643</v>
      </c>
      <c r="L16" s="349">
        <f t="shared" si="4"/>
        <v>0.21551029518022241</v>
      </c>
      <c r="M16" s="349">
        <f t="shared" si="4"/>
        <v>0.22549050615519503</v>
      </c>
    </row>
    <row r="17" spans="1:13" x14ac:dyDescent="0.25">
      <c r="A17" s="103" t="s">
        <v>90</v>
      </c>
      <c r="B17" s="202">
        <f>+PYG!G39</f>
        <v>22735514.5</v>
      </c>
      <c r="C17" s="202">
        <f>+PYG!H39</f>
        <v>27379505.700000003</v>
      </c>
      <c r="D17" s="202">
        <f>+PYG!I39</f>
        <v>32023496.900000002</v>
      </c>
      <c r="E17" s="202">
        <f>+PYG!J39</f>
        <v>36667488.100000001</v>
      </c>
      <c r="F17" s="202">
        <f>+PYG!K39</f>
        <v>41311479.300000004</v>
      </c>
      <c r="G17" s="37"/>
      <c r="H17" s="202" t="s">
        <v>367</v>
      </c>
      <c r="I17" s="349">
        <f>+I13/B10</f>
        <v>0.12140334043632098</v>
      </c>
      <c r="J17" s="349">
        <f t="shared" ref="J17:M17" si="5">+J13/C10</f>
        <v>0.13980826146902212</v>
      </c>
      <c r="K17" s="349">
        <f t="shared" si="5"/>
        <v>0.15216132594525481</v>
      </c>
      <c r="L17" s="349">
        <f t="shared" si="5"/>
        <v>0.16378782433696903</v>
      </c>
      <c r="M17" s="349">
        <f t="shared" si="5"/>
        <v>0.17137278467794823</v>
      </c>
    </row>
    <row r="18" spans="1:13" x14ac:dyDescent="0.25">
      <c r="A18" s="103" t="s">
        <v>91</v>
      </c>
      <c r="B18" s="202">
        <f>+PYG!G40</f>
        <v>0</v>
      </c>
      <c r="C18" s="202">
        <f>+PYG!H40</f>
        <v>0</v>
      </c>
      <c r="D18" s="202">
        <f>+PYG!I40</f>
        <v>0</v>
      </c>
      <c r="E18" s="202">
        <f>+PYG!J40</f>
        <v>0</v>
      </c>
      <c r="F18" s="202">
        <f>+PYG!K40</f>
        <v>0</v>
      </c>
      <c r="G18" s="37"/>
    </row>
    <row r="19" spans="1:13" x14ac:dyDescent="0.25">
      <c r="A19" s="103" t="s">
        <v>92</v>
      </c>
      <c r="B19" s="202">
        <f>+PYG!G41</f>
        <v>5031732</v>
      </c>
      <c r="C19" s="202">
        <f>+PYG!H41</f>
        <v>6533640.6000000015</v>
      </c>
      <c r="D19" s="202">
        <f>+PYG!I41</f>
        <v>8035549.2000000011</v>
      </c>
      <c r="E19" s="202">
        <f>+PYG!J41</f>
        <v>9537457.8000000007</v>
      </c>
      <c r="F19" s="202">
        <f>+PYG!K41</f>
        <v>11039366.4</v>
      </c>
      <c r="G19" s="37"/>
    </row>
    <row r="20" spans="1:13" x14ac:dyDescent="0.25">
      <c r="A20" s="103" t="s">
        <v>93</v>
      </c>
      <c r="B20" s="202">
        <f>+PYG!G42+'FCL ESTRATEGIA 2'!K65</f>
        <v>89339273</v>
      </c>
      <c r="C20" s="202">
        <f>+PYG!H42+'FCL ESTRATEGIA 2'!L65</f>
        <v>73382801</v>
      </c>
      <c r="D20" s="202">
        <f>+PYG!I42+'FCL ESTRATEGIA 2'!M65</f>
        <v>57426329</v>
      </c>
      <c r="E20" s="202">
        <f>+PYG!J42+'FCL ESTRATEGIA 2'!N65</f>
        <v>41469857</v>
      </c>
      <c r="F20" s="202">
        <f>+PYG!K42+'FCL ESTRATEGIA 2'!O65</f>
        <v>25513385</v>
      </c>
      <c r="G20" s="37"/>
    </row>
    <row r="21" spans="1:13" x14ac:dyDescent="0.25">
      <c r="A21" s="105" t="s">
        <v>94</v>
      </c>
      <c r="B21" s="239">
        <f>+B15+B17-B18+B19-B20</f>
        <v>827722403.79654121</v>
      </c>
      <c r="C21" s="239">
        <f>+C15+C17-C18+C19-C20</f>
        <v>1107011493.3498502</v>
      </c>
      <c r="D21" s="239">
        <f>+D15+D17-D18+D19-D20</f>
        <v>1386051274.5162055</v>
      </c>
      <c r="E21" s="239">
        <f>+E15+E17-E18+E19-E20</f>
        <v>1664835065.8308346</v>
      </c>
      <c r="F21" s="239">
        <f>+F15+F17-F18+F19-F20</f>
        <v>1943356006.7657154</v>
      </c>
    </row>
    <row r="22" spans="1:13" x14ac:dyDescent="0.25">
      <c r="A22" s="105" t="s">
        <v>59</v>
      </c>
      <c r="B22" s="107">
        <f>+B21/B10</f>
        <v>0.1640585681571905</v>
      </c>
      <c r="C22" s="107">
        <f>+C21/C10</f>
        <v>0.1864110152920295</v>
      </c>
      <c r="D22" s="107">
        <f>+D21/D10</f>
        <v>0.20288176792700643</v>
      </c>
      <c r="E22" s="107">
        <f>+E21/E10</f>
        <v>0.21551029518022241</v>
      </c>
      <c r="F22" s="107">
        <f>+F21/F10</f>
        <v>0.22549050615519503</v>
      </c>
    </row>
    <row r="23" spans="1:13" x14ac:dyDescent="0.25">
      <c r="A23" s="103" t="s">
        <v>95</v>
      </c>
      <c r="B23" s="202">
        <f>+B21*26%</f>
        <v>215207824.98710072</v>
      </c>
      <c r="C23" s="202">
        <f>+C21*25%</f>
        <v>276752873.33746254</v>
      </c>
      <c r="D23" s="202">
        <f>+D21*25%</f>
        <v>346512818.62905139</v>
      </c>
      <c r="E23" s="202">
        <f>+E21*24%</f>
        <v>399560415.79940027</v>
      </c>
      <c r="F23" s="202">
        <f>+F21*24%</f>
        <v>466405441.62377167</v>
      </c>
    </row>
    <row r="24" spans="1:13" x14ac:dyDescent="0.25">
      <c r="A24" s="105" t="s">
        <v>96</v>
      </c>
      <c r="B24" s="239">
        <f>+B21-B23</f>
        <v>612514578.80944049</v>
      </c>
      <c r="C24" s="239">
        <f>+C21-C23</f>
        <v>830258620.01238763</v>
      </c>
      <c r="D24" s="239">
        <f>+D21-D23</f>
        <v>1039538455.8871541</v>
      </c>
      <c r="E24" s="239">
        <f>+E21-E23</f>
        <v>1265274650.0314343</v>
      </c>
      <c r="F24" s="239">
        <f>+F21-F23</f>
        <v>1476950565.1419437</v>
      </c>
    </row>
    <row r="25" spans="1:13" x14ac:dyDescent="0.25">
      <c r="A25" s="105" t="s">
        <v>97</v>
      </c>
      <c r="B25" s="107">
        <f>+B24/B10</f>
        <v>0.12140334043632098</v>
      </c>
      <c r="C25" s="107">
        <f>+C24/C10</f>
        <v>0.13980826146902212</v>
      </c>
      <c r="D25" s="107">
        <f>+D24/D10</f>
        <v>0.15216132594525481</v>
      </c>
      <c r="E25" s="107">
        <f>+E24/E10</f>
        <v>0.16378782433696903</v>
      </c>
      <c r="F25" s="107">
        <f>+F24/F10</f>
        <v>0.17137278467794823</v>
      </c>
    </row>
    <row r="27" spans="1:13" x14ac:dyDescent="0.25">
      <c r="A27" s="363" t="s">
        <v>98</v>
      </c>
    </row>
    <row r="28" spans="1:13" x14ac:dyDescent="0.25">
      <c r="A28" s="363" t="s">
        <v>99</v>
      </c>
      <c r="B28" s="199">
        <v>10</v>
      </c>
    </row>
    <row r="29" spans="1:13" x14ac:dyDescent="0.25">
      <c r="A29" s="105" t="s">
        <v>100</v>
      </c>
      <c r="B29" s="237">
        <v>2021</v>
      </c>
      <c r="C29" s="237">
        <v>2022</v>
      </c>
      <c r="D29" s="237">
        <v>2023</v>
      </c>
      <c r="E29" s="237">
        <v>2024</v>
      </c>
      <c r="F29" s="237">
        <v>2025</v>
      </c>
      <c r="G29" s="37"/>
    </row>
    <row r="30" spans="1:13" x14ac:dyDescent="0.25">
      <c r="A30" s="103" t="s">
        <v>101</v>
      </c>
      <c r="B30" s="202">
        <f>+'FCL ESTRATEGIA 2'!K103+'FCL ESTRATEGIA 2'!K121+'FCL ESTRATEGIA 2'!K123</f>
        <v>509166084</v>
      </c>
      <c r="C30" s="202">
        <f>+'FCL ESTRATEGIA 2'!L103+'FCL ESTRATEGIA 2'!L121+'FCL ESTRATEGIA 2'!L123</f>
        <v>514747615.05119997</v>
      </c>
      <c r="D30" s="202">
        <f>+'FCL ESTRATEGIA 2'!M103+'FCL ESTRATEGIA 2'!M121+'FCL ESTRATEGIA 2'!M123</f>
        <v>520478731.13457215</v>
      </c>
      <c r="E30" s="202">
        <f>+'FCL ESTRATEGIA 2'!N103+'FCL ESTRATEGIA 2'!N121+'FCL ESTRATEGIA 2'!N123</f>
        <v>526363441.12897867</v>
      </c>
      <c r="F30" s="202">
        <f>+'FCL ESTRATEGIA 2'!O103+'FCL ESTRATEGIA 2'!O121+'FCL ESTRATEGIA 2'!O123</f>
        <v>532405861.35123527</v>
      </c>
      <c r="G30" s="37"/>
    </row>
    <row r="31" spans="1:13" x14ac:dyDescent="0.25">
      <c r="A31" s="109"/>
      <c r="B31" s="109"/>
      <c r="C31" s="109"/>
      <c r="D31" s="109"/>
      <c r="E31" s="109"/>
      <c r="F31" s="109"/>
    </row>
    <row r="32" spans="1:13" x14ac:dyDescent="0.25">
      <c r="A32" s="103" t="s">
        <v>102</v>
      </c>
      <c r="B32" s="202"/>
      <c r="C32" s="202"/>
      <c r="D32" s="202"/>
      <c r="E32" s="202"/>
      <c r="F32" s="202"/>
    </row>
    <row r="33" spans="1:7" x14ac:dyDescent="0.25">
      <c r="A33" s="103" t="s">
        <v>103</v>
      </c>
      <c r="B33" s="202">
        <f>+$B$30/$B$28</f>
        <v>50916608.399999999</v>
      </c>
      <c r="C33" s="202">
        <f>+$B$30/$B$28</f>
        <v>50916608.399999999</v>
      </c>
      <c r="D33" s="202">
        <f>+$B$30/$B$28</f>
        <v>50916608.399999999</v>
      </c>
      <c r="E33" s="202">
        <f>+$B$30/$B$28</f>
        <v>50916608.399999999</v>
      </c>
      <c r="F33" s="202">
        <f>+$B$30/$B$28</f>
        <v>50916608.399999999</v>
      </c>
    </row>
    <row r="34" spans="1:7" x14ac:dyDescent="0.25">
      <c r="A34" s="103" t="s">
        <v>104</v>
      </c>
      <c r="B34" s="110"/>
      <c r="C34" s="202">
        <f>+$C$30/$B$28</f>
        <v>51474761.505119994</v>
      </c>
      <c r="D34" s="202">
        <f>+$C$30/$B$28</f>
        <v>51474761.505119994</v>
      </c>
      <c r="E34" s="202">
        <f>+$C$30/$B$28</f>
        <v>51474761.505119994</v>
      </c>
      <c r="F34" s="202">
        <f>+$C$30/$B$28</f>
        <v>51474761.505119994</v>
      </c>
      <c r="G34" s="196"/>
    </row>
    <row r="35" spans="1:7" x14ac:dyDescent="0.25">
      <c r="A35" s="103" t="s">
        <v>105</v>
      </c>
      <c r="B35" s="110"/>
      <c r="C35" s="110"/>
      <c r="D35" s="202">
        <f>+$D$30/$B$28</f>
        <v>52047873.113457218</v>
      </c>
      <c r="E35" s="202">
        <f>+$D$30/$B$28</f>
        <v>52047873.113457218</v>
      </c>
      <c r="F35" s="202">
        <f>+$D$30/$B$28</f>
        <v>52047873.113457218</v>
      </c>
    </row>
    <row r="36" spans="1:7" x14ac:dyDescent="0.25">
      <c r="A36" s="103" t="s">
        <v>106</v>
      </c>
      <c r="B36" s="110"/>
      <c r="C36" s="110"/>
      <c r="D36" s="110"/>
      <c r="E36" s="202">
        <f>+$E$30/$B$28</f>
        <v>52636344.112897865</v>
      </c>
      <c r="F36" s="202">
        <f>+$E$30/$B$28</f>
        <v>52636344.112897865</v>
      </c>
    </row>
    <row r="37" spans="1:7" x14ac:dyDescent="0.25">
      <c r="A37" s="103" t="s">
        <v>107</v>
      </c>
      <c r="B37" s="110"/>
      <c r="C37" s="110"/>
      <c r="D37" s="110"/>
      <c r="E37" s="110"/>
      <c r="F37" s="202">
        <f>+$F$30/$B$28</f>
        <v>53240586.135123529</v>
      </c>
    </row>
    <row r="38" spans="1:7" x14ac:dyDescent="0.25">
      <c r="A38" s="111" t="s">
        <v>153</v>
      </c>
      <c r="B38" s="112">
        <f>SUM(B32:B37)</f>
        <v>50916608.399999999</v>
      </c>
      <c r="C38" s="112">
        <f>SUM(C32:C37)</f>
        <v>102391369.90511999</v>
      </c>
      <c r="D38" s="112">
        <f>SUM(D32:D37)</f>
        <v>154439243.01857722</v>
      </c>
      <c r="E38" s="112">
        <f>SUM(E32:E37)</f>
        <v>207075587.13147509</v>
      </c>
      <c r="F38" s="112">
        <f>SUM(F32:F37)</f>
        <v>260316173.26659861</v>
      </c>
    </row>
    <row r="41" spans="1:7" x14ac:dyDescent="0.25">
      <c r="A41" s="363" t="s">
        <v>109</v>
      </c>
    </row>
    <row r="42" spans="1:7" x14ac:dyDescent="0.25">
      <c r="A42" s="363"/>
    </row>
    <row r="43" spans="1:7" x14ac:dyDescent="0.25">
      <c r="A43" s="113" t="s">
        <v>110</v>
      </c>
      <c r="B43" s="238">
        <v>365</v>
      </c>
      <c r="C43" s="364"/>
    </row>
    <row r="44" spans="1:7" x14ac:dyDescent="0.25">
      <c r="A44" s="113" t="s">
        <v>111</v>
      </c>
      <c r="B44" s="126">
        <v>17</v>
      </c>
      <c r="C44" s="364"/>
    </row>
    <row r="45" spans="1:7" x14ac:dyDescent="0.25">
      <c r="A45" s="113" t="s">
        <v>112</v>
      </c>
      <c r="B45" s="126">
        <f>+Ciclos!F11</f>
        <v>7.0980633731927245</v>
      </c>
      <c r="C45" s="364"/>
    </row>
    <row r="46" spans="1:7" x14ac:dyDescent="0.25">
      <c r="A46" s="113" t="s">
        <v>113</v>
      </c>
      <c r="B46" s="238">
        <v>0</v>
      </c>
      <c r="C46" s="364"/>
    </row>
    <row r="47" spans="1:7" x14ac:dyDescent="0.25">
      <c r="A47" s="113" t="s">
        <v>155</v>
      </c>
      <c r="B47" s="126">
        <f>+Ciclos!F14</f>
        <v>24.412395960836879</v>
      </c>
      <c r="C47" s="364"/>
    </row>
    <row r="50" spans="1:6" x14ac:dyDescent="0.25">
      <c r="A50" s="238"/>
      <c r="B50" s="237">
        <v>2021</v>
      </c>
      <c r="C50" s="237">
        <v>2022</v>
      </c>
      <c r="D50" s="237">
        <v>2023</v>
      </c>
      <c r="E50" s="237">
        <v>2024</v>
      </c>
      <c r="F50" s="237">
        <v>2025</v>
      </c>
    </row>
    <row r="51" spans="1:6" x14ac:dyDescent="0.25">
      <c r="A51" s="103" t="s">
        <v>114</v>
      </c>
      <c r="B51" s="202">
        <f>+(B14/$B$43)*$B$44</f>
        <v>69471368.536986306</v>
      </c>
      <c r="C51" s="202">
        <f>+(C14/$B$43)*$B$44</f>
        <v>67193114.198356166</v>
      </c>
      <c r="D51" s="202">
        <f>+(D14/$B$43)*$B$44</f>
        <v>64921684.123616442</v>
      </c>
      <c r="E51" s="202">
        <f>+(E14/$B$43)*$B$44</f>
        <v>62657261.203039378</v>
      </c>
      <c r="F51" s="202">
        <f>+(F14/$B$43)*$B$44</f>
        <v>60400033.22835657</v>
      </c>
    </row>
    <row r="52" spans="1:6" x14ac:dyDescent="0.25">
      <c r="A52" s="103" t="s">
        <v>115</v>
      </c>
      <c r="B52" s="202">
        <f>+(B10/$B$43)*$B$45</f>
        <v>98114411.105365649</v>
      </c>
      <c r="C52" s="202">
        <f>+(C10/$B$43)*$B$45</f>
        <v>115485528.47992454</v>
      </c>
      <c r="D52" s="202">
        <f>+(D10/$B$43)*$B$45</f>
        <v>132856645.85448344</v>
      </c>
      <c r="E52" s="202">
        <f>+(E10/$B$43)*$B$45</f>
        <v>150227763.22904232</v>
      </c>
      <c r="F52" s="202">
        <f>+(F10/$B$43)*$B$45</f>
        <v>167598880.60360119</v>
      </c>
    </row>
    <row r="53" spans="1:6" x14ac:dyDescent="0.25">
      <c r="A53" s="103" t="s">
        <v>116</v>
      </c>
      <c r="B53" s="202">
        <f>+(B11/$B$43)*$B$46</f>
        <v>0</v>
      </c>
      <c r="C53" s="202">
        <f>+(C11/$B$43)*$B$46</f>
        <v>0</v>
      </c>
      <c r="D53" s="202">
        <f>+(D11/$B$43)*$B$46</f>
        <v>0</v>
      </c>
      <c r="E53" s="202">
        <f>+(E11/$B$43)*$B$46</f>
        <v>0</v>
      </c>
      <c r="F53" s="202">
        <f>+(F11/$B$43)*$B$46</f>
        <v>0</v>
      </c>
    </row>
    <row r="54" spans="1:6" x14ac:dyDescent="0.25">
      <c r="A54" s="103" t="s">
        <v>117</v>
      </c>
      <c r="B54" s="202">
        <f>+(B11/$B$43)*$B$47</f>
        <v>178203833.11996412</v>
      </c>
      <c r="C54" s="202">
        <f>+(C11/$B$43)*$B$47</f>
        <v>224018518.12034258</v>
      </c>
      <c r="D54" s="202">
        <f>+(D11/$B$43)*$B$47</f>
        <v>269840077.88062948</v>
      </c>
      <c r="E54" s="202">
        <f>+(E11/$B$43)*$B$47</f>
        <v>315668696.64439046</v>
      </c>
      <c r="F54" s="202">
        <f>+(F11/$B$43)*$B$47</f>
        <v>361504563.59291852</v>
      </c>
    </row>
    <row r="55" spans="1:6" x14ac:dyDescent="0.25">
      <c r="A55" s="113" t="s">
        <v>118</v>
      </c>
      <c r="B55" s="115">
        <f>+B51+B52+B53-B54</f>
        <v>-10618053.477612168</v>
      </c>
      <c r="C55" s="115">
        <f>+C51+C52+C53-C54</f>
        <v>-41339875.442061871</v>
      </c>
      <c r="D55" s="115">
        <f>+D51+D52+D53-D54</f>
        <v>-72061747.902529597</v>
      </c>
      <c r="E55" s="115">
        <f>+E51+E52+E53-E54</f>
        <v>-102783672.21230876</v>
      </c>
      <c r="F55" s="115">
        <f>+F51+F52+F53-F54</f>
        <v>-133505649.76096076</v>
      </c>
    </row>
    <row r="56" spans="1:6" x14ac:dyDescent="0.25">
      <c r="A56" s="113" t="s">
        <v>119</v>
      </c>
      <c r="B56" s="115">
        <v>7</v>
      </c>
      <c r="C56" s="115">
        <f>+C55-B55</f>
        <v>-30721821.964449704</v>
      </c>
      <c r="D56" s="115">
        <f>+D55-C55</f>
        <v>-30721872.460467726</v>
      </c>
      <c r="E56" s="115">
        <f>+E55-D55</f>
        <v>-30721924.309779167</v>
      </c>
      <c r="F56" s="115">
        <f>+F55-E55</f>
        <v>-30721977.548651993</v>
      </c>
    </row>
    <row r="57" spans="1:6" x14ac:dyDescent="0.25">
      <c r="A57" s="203"/>
    </row>
    <row r="61" spans="1:6" x14ac:dyDescent="0.25">
      <c r="A61" s="363" t="s">
        <v>120</v>
      </c>
    </row>
    <row r="62" spans="1:6" x14ac:dyDescent="0.25">
      <c r="A62" s="363"/>
    </row>
    <row r="63" spans="1:6" x14ac:dyDescent="0.25">
      <c r="A63" s="113" t="s">
        <v>121</v>
      </c>
      <c r="B63" s="240">
        <f>+Ciclos!H15</f>
        <v>0.1356</v>
      </c>
    </row>
    <row r="64" spans="1:6" x14ac:dyDescent="0.25">
      <c r="A64" s="113" t="s">
        <v>122</v>
      </c>
      <c r="B64" s="240">
        <v>0.02</v>
      </c>
    </row>
    <row r="65" spans="1:8" x14ac:dyDescent="0.25">
      <c r="A65" s="113" t="s">
        <v>123</v>
      </c>
      <c r="B65" s="240">
        <v>0.03</v>
      </c>
    </row>
    <row r="66" spans="1:8" x14ac:dyDescent="0.25">
      <c r="A66" s="203"/>
    </row>
    <row r="67" spans="1:8" x14ac:dyDescent="0.25">
      <c r="A67" s="237" t="s">
        <v>154</v>
      </c>
      <c r="B67" s="237">
        <v>2021</v>
      </c>
      <c r="C67" s="237">
        <v>2022</v>
      </c>
      <c r="D67" s="237">
        <v>2023</v>
      </c>
      <c r="E67" s="237">
        <v>2024</v>
      </c>
      <c r="F67" s="237">
        <v>2025</v>
      </c>
    </row>
    <row r="68" spans="1:8" x14ac:dyDescent="0.25">
      <c r="A68" s="203" t="s">
        <v>125</v>
      </c>
      <c r="B68" s="202">
        <f>+B21</f>
        <v>827722403.79654121</v>
      </c>
      <c r="C68" s="202">
        <f>+C21</f>
        <v>1107011493.3498502</v>
      </c>
      <c r="D68" s="202">
        <f>+D21</f>
        <v>1386051274.5162055</v>
      </c>
      <c r="E68" s="202">
        <f>+E21</f>
        <v>1664835065.8308346</v>
      </c>
      <c r="F68" s="202">
        <f>+F21</f>
        <v>1943356006.7657154</v>
      </c>
    </row>
    <row r="69" spans="1:8" x14ac:dyDescent="0.25">
      <c r="A69" s="203" t="s">
        <v>126</v>
      </c>
      <c r="B69" s="202">
        <f>+B23</f>
        <v>215207824.98710072</v>
      </c>
      <c r="C69" s="202">
        <f>+C23</f>
        <v>276752873.33746254</v>
      </c>
      <c r="D69" s="202">
        <f>+D23</f>
        <v>346512818.62905139</v>
      </c>
      <c r="E69" s="202">
        <f>+E23</f>
        <v>399560415.79940027</v>
      </c>
      <c r="F69" s="202">
        <f>+F23</f>
        <v>466405441.62377167</v>
      </c>
    </row>
    <row r="70" spans="1:8" x14ac:dyDescent="0.25">
      <c r="A70" s="203" t="s">
        <v>127</v>
      </c>
      <c r="B70" s="202">
        <f>+B68-B69</f>
        <v>612514578.80944049</v>
      </c>
      <c r="C70" s="202">
        <f>+C68-C69</f>
        <v>830258620.01238763</v>
      </c>
      <c r="D70" s="202">
        <f>+D68-D69</f>
        <v>1039538455.8871541</v>
      </c>
      <c r="E70" s="202">
        <f>+E68-E69</f>
        <v>1265274650.0314343</v>
      </c>
      <c r="F70" s="202">
        <f>+F68-F69</f>
        <v>1476950565.1419437</v>
      </c>
    </row>
    <row r="71" spans="1:8" x14ac:dyDescent="0.25">
      <c r="A71" s="203" t="s">
        <v>128</v>
      </c>
      <c r="B71" s="202">
        <f>+B38</f>
        <v>50916608.399999999</v>
      </c>
      <c r="C71" s="202">
        <f>+C38</f>
        <v>102391369.90511999</v>
      </c>
      <c r="D71" s="202">
        <f>+D38</f>
        <v>154439243.01857722</v>
      </c>
      <c r="E71" s="202">
        <f>+E38</f>
        <v>207075587.13147509</v>
      </c>
      <c r="F71" s="202">
        <f>+F38</f>
        <v>260316173.26659861</v>
      </c>
    </row>
    <row r="72" spans="1:8" x14ac:dyDescent="0.25">
      <c r="A72" s="203" t="s">
        <v>129</v>
      </c>
      <c r="B72" s="202">
        <f>+B30</f>
        <v>509166084</v>
      </c>
      <c r="C72" s="202">
        <f>+C30</f>
        <v>514747615.05119997</v>
      </c>
      <c r="D72" s="202">
        <f>+D30</f>
        <v>520478731.13457215</v>
      </c>
      <c r="E72" s="202">
        <f>+E30</f>
        <v>526363441.12897867</v>
      </c>
      <c r="F72" s="202">
        <f>+F30</f>
        <v>532405861.35123527</v>
      </c>
    </row>
    <row r="73" spans="1:8" x14ac:dyDescent="0.25">
      <c r="A73" s="203" t="s">
        <v>130</v>
      </c>
      <c r="B73" s="202">
        <v>0</v>
      </c>
      <c r="C73" s="202">
        <f>+C56</f>
        <v>-30721821.964449704</v>
      </c>
      <c r="D73" s="202">
        <f>+D56</f>
        <v>-30721872.460467726</v>
      </c>
      <c r="E73" s="202">
        <f>+E56</f>
        <v>-30721924.309779167</v>
      </c>
      <c r="F73" s="202">
        <f>+F56</f>
        <v>-30721977.548651993</v>
      </c>
    </row>
    <row r="74" spans="1:8" x14ac:dyDescent="0.25">
      <c r="A74" s="117" t="s">
        <v>131</v>
      </c>
      <c r="B74" s="115">
        <f>+B70+B71-B72-B73</f>
        <v>154265103.20944047</v>
      </c>
      <c r="C74" s="115">
        <f>+C70+C71-C72-C73</f>
        <v>448624196.83075738</v>
      </c>
      <c r="D74" s="115">
        <f>+D70+D71-D72-D73</f>
        <v>704220840.23162675</v>
      </c>
      <c r="E74" s="115">
        <f>+E70+E71-E72-E73</f>
        <v>976708720.34370995</v>
      </c>
      <c r="F74" s="115">
        <f>+F70+F71-F72-F73</f>
        <v>1235582854.6059592</v>
      </c>
      <c r="G74" s="202">
        <f>+F74*(1+B64)*(1+B65)/(B63-((1+B64)*(1+B65)-1))</f>
        <v>15271804082.929653</v>
      </c>
      <c r="H74" s="204" t="s">
        <v>132</v>
      </c>
    </row>
    <row r="75" spans="1:8" x14ac:dyDescent="0.25">
      <c r="A75" s="203" t="s">
        <v>133</v>
      </c>
      <c r="B75" s="119">
        <f>+(1+$B$63)</f>
        <v>1.1355999999999999</v>
      </c>
      <c r="C75" s="119">
        <f>+(1+B63)*B75</f>
        <v>1.2895873599999998</v>
      </c>
      <c r="D75" s="119">
        <f>+(1+$B$63)*C75</f>
        <v>1.4644554060159998</v>
      </c>
      <c r="E75" s="119">
        <f>+(1+$B$63)*D75</f>
        <v>1.6630355590717694</v>
      </c>
      <c r="F75" s="119">
        <f>+(1+$B$63)*E75</f>
        <v>1.8885431808819011</v>
      </c>
      <c r="G75" s="119">
        <f>+F75</f>
        <v>1.8885431808819011</v>
      </c>
    </row>
    <row r="76" spans="1:8" x14ac:dyDescent="0.25">
      <c r="A76" s="117" t="s">
        <v>134</v>
      </c>
      <c r="B76" s="115">
        <f t="shared" ref="B76:G76" si="6">+B74/B75</f>
        <v>135844578.38097963</v>
      </c>
      <c r="C76" s="115">
        <f t="shared" si="6"/>
        <v>347881974.30126595</v>
      </c>
      <c r="D76" s="115">
        <f t="shared" si="6"/>
        <v>480875578.27891475</v>
      </c>
      <c r="E76" s="115">
        <f t="shared" si="6"/>
        <v>587304772.2977519</v>
      </c>
      <c r="F76" s="115">
        <f t="shared" si="6"/>
        <v>654251841.90333092</v>
      </c>
      <c r="G76" s="202">
        <f t="shared" si="6"/>
        <v>8086552765.925169</v>
      </c>
    </row>
    <row r="78" spans="1:8" ht="24" thickBot="1" x14ac:dyDescent="0.4">
      <c r="A78" s="120" t="s">
        <v>135</v>
      </c>
      <c r="B78" s="121">
        <f>+SUM(B76:G76)</f>
        <v>10292711511.087412</v>
      </c>
    </row>
    <row r="79" spans="1:8" ht="15.75" thickTop="1" x14ac:dyDescent="0.25"/>
  </sheetData>
  <mergeCells count="6">
    <mergeCell ref="A61:A62"/>
    <mergeCell ref="H9:M9"/>
    <mergeCell ref="A8:A9"/>
    <mergeCell ref="A27:A28"/>
    <mergeCell ref="A41:A42"/>
    <mergeCell ref="C43:C4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5"/>
  <sheetViews>
    <sheetView showGridLines="0" tabSelected="1" zoomScale="85" zoomScaleNormal="85" workbookViewId="0">
      <selection activeCell="D11" sqref="D11"/>
    </sheetView>
  </sheetViews>
  <sheetFormatPr baseColWidth="10" defaultRowHeight="15" x14ac:dyDescent="0.25"/>
  <cols>
    <col min="1" max="1" width="24.85546875" customWidth="1"/>
    <col min="2" max="3" width="29.5703125" bestFit="1" customWidth="1"/>
    <col min="4" max="4" width="50.85546875" bestFit="1" customWidth="1"/>
  </cols>
  <sheetData>
    <row r="1" spans="1:5" x14ac:dyDescent="0.25">
      <c r="A1" s="377" t="s">
        <v>361</v>
      </c>
      <c r="B1" s="378"/>
      <c r="C1" s="378"/>
      <c r="D1" s="379"/>
    </row>
    <row r="2" spans="1:5" ht="15" customHeight="1" x14ac:dyDescent="0.25">
      <c r="A2" s="325"/>
      <c r="B2" s="324"/>
      <c r="C2" s="375" t="s">
        <v>357</v>
      </c>
      <c r="D2" s="376" t="s">
        <v>358</v>
      </c>
    </row>
    <row r="3" spans="1:5" x14ac:dyDescent="0.25">
      <c r="A3" s="325"/>
      <c r="B3" s="324"/>
      <c r="C3" s="375"/>
      <c r="D3" s="376"/>
    </row>
    <row r="4" spans="1:5" ht="15" customHeight="1" x14ac:dyDescent="0.25">
      <c r="A4" s="325"/>
      <c r="B4" s="375" t="s">
        <v>362</v>
      </c>
      <c r="C4" s="375" t="s">
        <v>363</v>
      </c>
      <c r="D4" s="375" t="s">
        <v>364</v>
      </c>
    </row>
    <row r="5" spans="1:5" x14ac:dyDescent="0.25">
      <c r="A5" s="325"/>
      <c r="B5" s="375"/>
      <c r="C5" s="375"/>
      <c r="D5" s="375"/>
    </row>
    <row r="6" spans="1:5" x14ac:dyDescent="0.25">
      <c r="A6" s="7" t="s">
        <v>84</v>
      </c>
      <c r="B6" s="312">
        <f>+SUM('MODELO SIN ESTRATEGIA '!B10:F10)</f>
        <v>28575478369.500004</v>
      </c>
      <c r="C6" s="312">
        <f>+SUM('MODELO CON ESTRATEGIA 1'!B10:F10)</f>
        <v>34159089027.035789</v>
      </c>
      <c r="D6" s="317">
        <f>+SUM('MODELO CON ESTRATEGIA 2'!B10:F10)</f>
        <v>34159089027.035789</v>
      </c>
      <c r="E6" s="291"/>
    </row>
    <row r="7" spans="1:5" x14ac:dyDescent="0.25">
      <c r="A7" s="326" t="s">
        <v>85</v>
      </c>
      <c r="B7" s="327">
        <f>+SUM('MODELO SIN ESTRATEGIA '!B11:F11)</f>
        <v>19418044348.5</v>
      </c>
      <c r="C7" s="327">
        <f>+SUM('MODELO CON ESTRATEGIA 1'!B11:F11)</f>
        <v>22076785045.154465</v>
      </c>
      <c r="D7" s="328">
        <f>+SUM('MODELO CON ESTRATEGIA 2'!B11:F11)</f>
        <v>20172990287.630791</v>
      </c>
      <c r="E7" s="291"/>
    </row>
    <row r="8" spans="1:5" x14ac:dyDescent="0.25">
      <c r="A8" s="7" t="s">
        <v>86</v>
      </c>
      <c r="B8" s="314">
        <f>+B6-B7</f>
        <v>9157434021.0000038</v>
      </c>
      <c r="C8" s="314">
        <f>+C6-C7</f>
        <v>12082303981.881325</v>
      </c>
      <c r="D8" s="319">
        <f>+SUM('MODELO CON ESTRATEGIA 2'!B12:F12)</f>
        <v>13986098739.405001</v>
      </c>
      <c r="E8" s="291"/>
    </row>
    <row r="9" spans="1:5" x14ac:dyDescent="0.25">
      <c r="A9" s="326" t="s">
        <v>87</v>
      </c>
      <c r="B9" s="329">
        <f>+B8/B6</f>
        <v>0.32046476711914568</v>
      </c>
      <c r="C9" s="329">
        <f>+C8/C6</f>
        <v>0.35370685595036155</v>
      </c>
      <c r="D9" s="330">
        <f>+D8/D6</f>
        <v>0.40944003888205172</v>
      </c>
      <c r="E9" s="291"/>
    </row>
    <row r="10" spans="1:5" x14ac:dyDescent="0.25">
      <c r="A10" s="7" t="s">
        <v>88</v>
      </c>
      <c r="B10" s="313">
        <f>+SUM('MODELO SIN ESTRATEGIA '!B14:F14)</f>
        <v>5894129132</v>
      </c>
      <c r="C10" s="313">
        <f>+SUM('MODELO CON ESTRATEGIA 1'!B14:F14)</f>
        <v>6413216601.3468237</v>
      </c>
      <c r="D10" s="318">
        <f>+SUM('MODELO CON ESTRATEGIA 2'!B14:F14)</f>
        <v>6970286080.645853</v>
      </c>
      <c r="E10" s="291"/>
    </row>
    <row r="11" spans="1:5" x14ac:dyDescent="0.25">
      <c r="A11" s="326" t="s">
        <v>89</v>
      </c>
      <c r="B11" s="331">
        <f>+B8-B10</f>
        <v>3263304889.0000038</v>
      </c>
      <c r="C11" s="331">
        <f>+C8-C10</f>
        <v>5669087380.5345011</v>
      </c>
      <c r="D11" s="332">
        <f>+D8-D10</f>
        <v>7015812658.7591476</v>
      </c>
      <c r="E11" s="291"/>
    </row>
    <row r="12" spans="1:5" x14ac:dyDescent="0.25">
      <c r="A12" s="7" t="s">
        <v>57</v>
      </c>
      <c r="B12" s="315">
        <f>+B11/B8</f>
        <v>0.35635581774507252</v>
      </c>
      <c r="C12" s="315">
        <f>+C11/C8</f>
        <v>0.46920582275002259</v>
      </c>
      <c r="D12" s="320">
        <f>+D11/D8</f>
        <v>0.5016275653047203</v>
      </c>
      <c r="E12" s="291"/>
    </row>
    <row r="13" spans="1:5" x14ac:dyDescent="0.25">
      <c r="A13" s="326" t="s">
        <v>90</v>
      </c>
      <c r="B13" s="327">
        <f>+SUM('MODELO SIN ESTRATEGIA '!B17:F17)</f>
        <v>160117484.50000003</v>
      </c>
      <c r="C13" s="327">
        <f>+SUM('MODELO CON ESTRATEGIA 1'!B17:F17)</f>
        <v>160117484.50000003</v>
      </c>
      <c r="D13" s="328">
        <f>+SUM('MODELO CON ESTRATEGIA 2'!B17:F17)</f>
        <v>160117484.50000003</v>
      </c>
      <c r="E13" s="291"/>
    </row>
    <row r="14" spans="1:5" x14ac:dyDescent="0.25">
      <c r="A14" s="7" t="s">
        <v>91</v>
      </c>
      <c r="B14" s="313">
        <f>+SUM('MODELO SIN ESTRATEGIA '!B18:F18)</f>
        <v>0</v>
      </c>
      <c r="C14" s="313">
        <f>+SUM('MODELO CON ESTRATEGIA 1'!B18:F18)</f>
        <v>0</v>
      </c>
      <c r="D14" s="318">
        <f>+SUM('MODELO CON ESTRATEGIA 2'!B18:F18)</f>
        <v>0</v>
      </c>
      <c r="E14" s="291"/>
    </row>
    <row r="15" spans="1:5" x14ac:dyDescent="0.25">
      <c r="A15" s="326" t="s">
        <v>92</v>
      </c>
      <c r="B15" s="327">
        <f>+SUM('MODELO SIN ESTRATEGIA '!B19:F19)</f>
        <v>40177746.000000007</v>
      </c>
      <c r="C15" s="327">
        <f>+SUM('MODELO CON ESTRATEGIA 1'!B19:F19)</f>
        <v>40177746.000000007</v>
      </c>
      <c r="D15" s="328">
        <f>+SUM('MODELO CON ESTRATEGIA 2'!B19:F19)</f>
        <v>40177746.000000007</v>
      </c>
      <c r="E15" s="291"/>
    </row>
    <row r="16" spans="1:5" x14ac:dyDescent="0.25">
      <c r="A16" s="7" t="s">
        <v>93</v>
      </c>
      <c r="B16" s="313">
        <f>+SUM('MODELO SIN ESTRATEGIA '!B20:F20)</f>
        <v>75361645</v>
      </c>
      <c r="C16" s="313">
        <f>+SUM('MODELO CON ESTRATEGIA 1'!B20:F20)</f>
        <v>495361645</v>
      </c>
      <c r="D16" s="318">
        <f>+SUM('MODELO CON ESTRATEGIA 2'!B20:F20)</f>
        <v>287131645</v>
      </c>
      <c r="E16" s="291"/>
    </row>
    <row r="17" spans="1:5" x14ac:dyDescent="0.25">
      <c r="A17" s="326" t="s">
        <v>94</v>
      </c>
      <c r="B17" s="331">
        <f>+B11+B13-B14+B15-B16</f>
        <v>3388238474.5000038</v>
      </c>
      <c r="C17" s="331">
        <f>+C11+C13-C14+C15-C16</f>
        <v>5374020966.0345011</v>
      </c>
      <c r="D17" s="332">
        <f>+D11+D13-D14+D15-D16</f>
        <v>6928976244.2591476</v>
      </c>
      <c r="E17" s="291"/>
    </row>
    <row r="18" spans="1:5" x14ac:dyDescent="0.25">
      <c r="A18" s="7" t="s">
        <v>59</v>
      </c>
      <c r="B18" s="315">
        <f>+B17/B6</f>
        <v>0.11857153992971944</v>
      </c>
      <c r="C18" s="315">
        <f>+C17/C6</f>
        <v>0.15732331040154909</v>
      </c>
      <c r="D18" s="320">
        <f>+D17/D6</f>
        <v>0.20284429244512617</v>
      </c>
      <c r="E18" s="291"/>
    </row>
    <row r="19" spans="1:5" x14ac:dyDescent="0.25">
      <c r="A19" s="326" t="s">
        <v>95</v>
      </c>
      <c r="B19" s="327">
        <f>+SUM('MODELO SIN ESTRATEGIA '!B23:F23)</f>
        <v>834425000</v>
      </c>
      <c r="C19" s="327">
        <f>+SUM('MODELO CON ESTRATEGIA 1'!B23:F23)</f>
        <v>1318471486.5615418</v>
      </c>
      <c r="D19" s="328">
        <f>+SUM('MODELO CON ESTRATEGIA 2'!B23:F23)</f>
        <v>1704439374.3767867</v>
      </c>
      <c r="E19" s="291"/>
    </row>
    <row r="20" spans="1:5" x14ac:dyDescent="0.25">
      <c r="A20" s="7" t="s">
        <v>96</v>
      </c>
      <c r="B20" s="314">
        <f>+B17-B19</f>
        <v>2553813474.5000038</v>
      </c>
      <c r="C20" s="314">
        <f>+C17-C19</f>
        <v>4055549479.4729595</v>
      </c>
      <c r="D20" s="319">
        <f>+D17-D19</f>
        <v>5224536869.8823605</v>
      </c>
      <c r="E20" s="291"/>
    </row>
    <row r="21" spans="1:5" x14ac:dyDescent="0.25">
      <c r="A21" s="326" t="s">
        <v>97</v>
      </c>
      <c r="B21" s="329">
        <f>+B20/B6</f>
        <v>8.9370803927671535E-2</v>
      </c>
      <c r="C21" s="329">
        <f>+C20/C6</f>
        <v>0.11872534060446185</v>
      </c>
      <c r="D21" s="330">
        <f>+D20/D6</f>
        <v>0.15294719556915912</v>
      </c>
      <c r="E21" s="291"/>
    </row>
    <row r="22" spans="1:5" x14ac:dyDescent="0.25">
      <c r="A22" s="7" t="s">
        <v>359</v>
      </c>
      <c r="B22" s="314">
        <f>+'MODELO SIN ESTRATEGIA '!G74</f>
        <v>9183548130.3454018</v>
      </c>
      <c r="C22" s="314">
        <f>+'MODELO CON ESTRATEGIA 1'!G74</f>
        <v>11430866174.956224</v>
      </c>
      <c r="D22" s="319">
        <f>+'MODELO CON ESTRATEGIA 2'!G74</f>
        <v>15271804082.929653</v>
      </c>
      <c r="E22" s="291"/>
    </row>
    <row r="23" spans="1:5" x14ac:dyDescent="0.25">
      <c r="A23" s="326" t="s">
        <v>134</v>
      </c>
      <c r="B23" s="331">
        <f>+'MODELO SIN ESTRATEGIA '!G76</f>
        <v>4862768414.9943142</v>
      </c>
      <c r="C23" s="331">
        <f>+'MODELO CON ESTRATEGIA 1'!G76</f>
        <v>6052742818.2067318</v>
      </c>
      <c r="D23" s="332">
        <f>+'MODELO CON ESTRATEGIA 2'!G76</f>
        <v>8086552765.925169</v>
      </c>
      <c r="E23" s="291"/>
    </row>
    <row r="24" spans="1:5" ht="15.75" thickBot="1" x14ac:dyDescent="0.3">
      <c r="A24" s="321" t="s">
        <v>360</v>
      </c>
      <c r="B24" s="322">
        <f>+'MODELO SIN ESTRATEGIA '!B78</f>
        <v>6634939522.440238</v>
      </c>
      <c r="C24" s="322">
        <f>+'MODELO CON ESTRATEGIA 1'!B78</f>
        <v>6991695656.6314487</v>
      </c>
      <c r="D24" s="323">
        <f>+'MODELO CON ESTRATEGIA 2'!B78</f>
        <v>10292711511.087412</v>
      </c>
      <c r="E24" s="291"/>
    </row>
    <row r="25" spans="1:5" ht="15.75" thickBot="1" x14ac:dyDescent="0.3">
      <c r="A25" s="316"/>
      <c r="B25" s="316"/>
      <c r="C25" s="316"/>
      <c r="D25" s="316"/>
    </row>
    <row r="26" spans="1:5" x14ac:dyDescent="0.25">
      <c r="A26" s="342"/>
      <c r="B26" s="380" t="s">
        <v>362</v>
      </c>
      <c r="C26" s="380" t="s">
        <v>363</v>
      </c>
      <c r="D26" s="381" t="s">
        <v>364</v>
      </c>
    </row>
    <row r="27" spans="1:5" x14ac:dyDescent="0.25">
      <c r="A27" s="325"/>
      <c r="B27" s="375"/>
      <c r="C27" s="375"/>
      <c r="D27" s="376"/>
    </row>
    <row r="28" spans="1:5" x14ac:dyDescent="0.25">
      <c r="A28" s="7" t="s">
        <v>57</v>
      </c>
      <c r="B28" s="315">
        <f>+B12</f>
        <v>0.35635581774507252</v>
      </c>
      <c r="C28" s="315">
        <f>+C12</f>
        <v>0.46920582275002259</v>
      </c>
      <c r="D28" s="320">
        <f>+D12</f>
        <v>0.5016275653047203</v>
      </c>
    </row>
    <row r="29" spans="1:5" x14ac:dyDescent="0.25">
      <c r="A29" s="7" t="s">
        <v>59</v>
      </c>
      <c r="B29" s="315">
        <f>+B18</f>
        <v>0.11857153992971944</v>
      </c>
      <c r="C29" s="315">
        <f>+C18</f>
        <v>0.15732331040154909</v>
      </c>
      <c r="D29" s="320">
        <f>+D18</f>
        <v>0.20284429244512617</v>
      </c>
    </row>
    <row r="30" spans="1:5" x14ac:dyDescent="0.25">
      <c r="A30" s="7" t="s">
        <v>97</v>
      </c>
      <c r="B30" s="315">
        <f>+B21</f>
        <v>8.9370803927671535E-2</v>
      </c>
      <c r="C30" s="315">
        <f>+C21</f>
        <v>0.11872534060446185</v>
      </c>
      <c r="D30" s="320">
        <f>+D21</f>
        <v>0.15294719556915912</v>
      </c>
    </row>
    <row r="31" spans="1:5" x14ac:dyDescent="0.25">
      <c r="A31" s="325"/>
      <c r="B31" s="375" t="s">
        <v>362</v>
      </c>
      <c r="C31" s="375" t="s">
        <v>363</v>
      </c>
      <c r="D31" s="376" t="s">
        <v>364</v>
      </c>
    </row>
    <row r="32" spans="1:5" x14ac:dyDescent="0.25">
      <c r="A32" s="325"/>
      <c r="B32" s="375"/>
      <c r="C32" s="375"/>
      <c r="D32" s="376"/>
    </row>
    <row r="33" spans="1:4" x14ac:dyDescent="0.25">
      <c r="A33" s="7" t="s">
        <v>359</v>
      </c>
      <c r="B33" s="314">
        <f t="shared" ref="B33:D35" si="0">+B22</f>
        <v>9183548130.3454018</v>
      </c>
      <c r="C33" s="314">
        <f t="shared" si="0"/>
        <v>11430866174.956224</v>
      </c>
      <c r="D33" s="319">
        <f t="shared" si="0"/>
        <v>15271804082.929653</v>
      </c>
    </row>
    <row r="34" spans="1:4" x14ac:dyDescent="0.25">
      <c r="A34" s="7" t="s">
        <v>134</v>
      </c>
      <c r="B34" s="314">
        <f t="shared" si="0"/>
        <v>4862768414.9943142</v>
      </c>
      <c r="C34" s="314">
        <f t="shared" si="0"/>
        <v>6052742818.2067318</v>
      </c>
      <c r="D34" s="319">
        <f t="shared" si="0"/>
        <v>8086552765.925169</v>
      </c>
    </row>
    <row r="35" spans="1:4" ht="15.75" thickBot="1" x14ac:dyDescent="0.3">
      <c r="A35" s="321" t="s">
        <v>360</v>
      </c>
      <c r="B35" s="322">
        <f t="shared" si="0"/>
        <v>6634939522.440238</v>
      </c>
      <c r="C35" s="322">
        <f t="shared" si="0"/>
        <v>6991695656.6314487</v>
      </c>
      <c r="D35" s="323">
        <f t="shared" si="0"/>
        <v>10292711511.087412</v>
      </c>
    </row>
  </sheetData>
  <mergeCells count="12">
    <mergeCell ref="B31:B32"/>
    <mergeCell ref="C31:C32"/>
    <mergeCell ref="D31:D32"/>
    <mergeCell ref="A1:D1"/>
    <mergeCell ref="B26:B27"/>
    <mergeCell ref="C26:C27"/>
    <mergeCell ref="D26:D27"/>
    <mergeCell ref="B4:B5"/>
    <mergeCell ref="C4:C5"/>
    <mergeCell ref="D4:D5"/>
    <mergeCell ref="C2:C3"/>
    <mergeCell ref="D2:D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4:FD46"/>
  <sheetViews>
    <sheetView workbookViewId="0">
      <selection activeCell="FA41" sqref="FA41"/>
    </sheetView>
  </sheetViews>
  <sheetFormatPr baseColWidth="10" defaultRowHeight="15" x14ac:dyDescent="0.25"/>
  <cols>
    <col min="2" max="2" width="18.7109375" bestFit="1" customWidth="1"/>
    <col min="3" max="3" width="21.7109375" bestFit="1" customWidth="1"/>
    <col min="4" max="4" width="12.7109375" bestFit="1" customWidth="1"/>
    <col min="6" max="6" width="21" bestFit="1" customWidth="1"/>
    <col min="7" max="7" width="2.140625" style="57" customWidth="1"/>
    <col min="9" max="9" width="18.7109375" bestFit="1" customWidth="1"/>
    <col min="10" max="10" width="21.7109375" bestFit="1" customWidth="1"/>
    <col min="11" max="11" width="12.7109375" bestFit="1" customWidth="1"/>
    <col min="13" max="13" width="21" bestFit="1" customWidth="1"/>
    <col min="14" max="14" width="2.85546875" style="57" customWidth="1"/>
    <col min="16" max="16" width="18.7109375" bestFit="1" customWidth="1"/>
    <col min="17" max="17" width="21.7109375" bestFit="1" customWidth="1"/>
    <col min="18" max="18" width="12.7109375" bestFit="1" customWidth="1"/>
    <col min="20" max="20" width="21" bestFit="1" customWidth="1"/>
    <col min="21" max="21" width="2.7109375" style="57" customWidth="1"/>
    <col min="23" max="23" width="18.7109375" bestFit="1" customWidth="1"/>
    <col min="24" max="24" width="21.7109375" bestFit="1" customWidth="1"/>
    <col min="25" max="25" width="12.7109375" bestFit="1" customWidth="1"/>
    <col min="27" max="27" width="21" bestFit="1" customWidth="1"/>
    <col min="28" max="28" width="2.28515625" style="57" customWidth="1"/>
    <col min="30" max="30" width="18.7109375" bestFit="1" customWidth="1"/>
    <col min="31" max="31" width="21.7109375" bestFit="1" customWidth="1"/>
    <col min="32" max="32" width="12.7109375" bestFit="1" customWidth="1"/>
    <col min="34" max="34" width="21" bestFit="1" customWidth="1"/>
    <col min="35" max="35" width="2.85546875" style="57" customWidth="1"/>
    <col min="37" max="37" width="18.7109375" bestFit="1" customWidth="1"/>
    <col min="38" max="38" width="21.7109375" bestFit="1" customWidth="1"/>
    <col min="39" max="39" width="12.7109375" bestFit="1" customWidth="1"/>
    <col min="41" max="41" width="21" bestFit="1" customWidth="1"/>
    <col min="42" max="42" width="3.5703125" style="57" customWidth="1"/>
    <col min="44" max="44" width="18.7109375" bestFit="1" customWidth="1"/>
    <col min="45" max="45" width="21.7109375" bestFit="1" customWidth="1"/>
    <col min="46" max="46" width="12.7109375" bestFit="1" customWidth="1"/>
    <col min="48" max="48" width="21" bestFit="1" customWidth="1"/>
    <col min="49" max="49" width="3" style="57" customWidth="1"/>
    <col min="51" max="51" width="18.7109375" bestFit="1" customWidth="1"/>
    <col min="52" max="52" width="21.7109375" bestFit="1" customWidth="1"/>
    <col min="53" max="53" width="12.7109375" bestFit="1" customWidth="1"/>
    <col min="55" max="55" width="21" bestFit="1" customWidth="1"/>
    <col min="56" max="56" width="3.42578125" style="57" customWidth="1"/>
    <col min="58" max="58" width="18.7109375" bestFit="1" customWidth="1"/>
    <col min="59" max="59" width="21.7109375" bestFit="1" customWidth="1"/>
    <col min="60" max="60" width="12.7109375" bestFit="1" customWidth="1"/>
    <col min="62" max="62" width="21" bestFit="1" customWidth="1"/>
    <col min="63" max="63" width="3.7109375" style="57" customWidth="1"/>
    <col min="65" max="65" width="18.7109375" bestFit="1" customWidth="1"/>
    <col min="66" max="66" width="21.7109375" bestFit="1" customWidth="1"/>
    <col min="67" max="67" width="12.7109375" bestFit="1" customWidth="1"/>
    <col min="69" max="69" width="21" bestFit="1" customWidth="1"/>
    <col min="70" max="70" width="3.85546875" style="57" customWidth="1"/>
    <col min="72" max="72" width="18.7109375" bestFit="1" customWidth="1"/>
    <col min="73" max="73" width="21.7109375" bestFit="1" customWidth="1"/>
    <col min="74" max="74" width="12.7109375" bestFit="1" customWidth="1"/>
    <col min="76" max="76" width="21" bestFit="1" customWidth="1"/>
    <col min="77" max="77" width="4.28515625" style="57" customWidth="1"/>
    <col min="79" max="79" width="18.7109375" bestFit="1" customWidth="1"/>
    <col min="80" max="80" width="21.7109375" bestFit="1" customWidth="1"/>
    <col min="81" max="81" width="12.7109375" bestFit="1" customWidth="1"/>
    <col min="83" max="83" width="21" bestFit="1" customWidth="1"/>
    <col min="84" max="84" width="4.7109375" style="57" customWidth="1"/>
    <col min="86" max="86" width="18.7109375" bestFit="1" customWidth="1"/>
    <col min="87" max="87" width="21.7109375" bestFit="1" customWidth="1"/>
    <col min="88" max="88" width="12.7109375" bestFit="1" customWidth="1"/>
    <col min="90" max="90" width="21" bestFit="1" customWidth="1"/>
    <col min="91" max="91" width="4.140625" style="57" customWidth="1"/>
    <col min="93" max="93" width="18.7109375" bestFit="1" customWidth="1"/>
    <col min="94" max="94" width="21.7109375" bestFit="1" customWidth="1"/>
    <col min="95" max="95" width="12.7109375" bestFit="1" customWidth="1"/>
    <col min="97" max="97" width="21" bestFit="1" customWidth="1"/>
    <col min="98" max="98" width="3.7109375" style="57" customWidth="1"/>
    <col min="100" max="100" width="18.7109375" bestFit="1" customWidth="1"/>
    <col min="101" max="101" width="21.7109375" bestFit="1" customWidth="1"/>
    <col min="102" max="102" width="12.7109375" bestFit="1" customWidth="1"/>
    <col min="104" max="104" width="21" bestFit="1" customWidth="1"/>
    <col min="105" max="105" width="4.7109375" style="57" customWidth="1"/>
    <col min="107" max="107" width="18.7109375" bestFit="1" customWidth="1"/>
    <col min="108" max="108" width="21.7109375" bestFit="1" customWidth="1"/>
    <col min="109" max="109" width="12.7109375" bestFit="1" customWidth="1"/>
    <col min="111" max="111" width="21" bestFit="1" customWidth="1"/>
    <col min="112" max="112" width="3.85546875" style="57" customWidth="1"/>
    <col min="114" max="114" width="18.7109375" bestFit="1" customWidth="1"/>
    <col min="115" max="115" width="21.7109375" bestFit="1" customWidth="1"/>
    <col min="116" max="116" width="12.7109375" bestFit="1" customWidth="1"/>
    <col min="118" max="118" width="21" bestFit="1" customWidth="1"/>
    <col min="119" max="119" width="3.85546875" style="57" customWidth="1"/>
    <col min="121" max="121" width="18.7109375" bestFit="1" customWidth="1"/>
    <col min="122" max="122" width="21.7109375" bestFit="1" customWidth="1"/>
    <col min="123" max="123" width="12.7109375" bestFit="1" customWidth="1"/>
    <col min="125" max="125" width="21" bestFit="1" customWidth="1"/>
    <col min="126" max="126" width="4.140625" style="57" customWidth="1"/>
    <col min="128" max="128" width="18.7109375" bestFit="1" customWidth="1"/>
    <col min="129" max="129" width="21.7109375" bestFit="1" customWidth="1"/>
    <col min="130" max="130" width="12.7109375" bestFit="1" customWidth="1"/>
    <col min="132" max="132" width="21" bestFit="1" customWidth="1"/>
    <col min="133" max="133" width="4" style="57" customWidth="1"/>
    <col min="135" max="135" width="18.7109375" bestFit="1" customWidth="1"/>
    <col min="136" max="136" width="21.7109375" bestFit="1" customWidth="1"/>
    <col min="137" max="137" width="12.7109375" bestFit="1" customWidth="1"/>
    <col min="139" max="139" width="21" bestFit="1" customWidth="1"/>
    <col min="140" max="140" width="4.28515625" style="57" customWidth="1"/>
    <col min="142" max="142" width="18.7109375" bestFit="1" customWidth="1"/>
    <col min="143" max="143" width="21.7109375" bestFit="1" customWidth="1"/>
    <col min="144" max="144" width="12.7109375" bestFit="1" customWidth="1"/>
    <col min="146" max="146" width="21" bestFit="1" customWidth="1"/>
    <col min="147" max="147" width="4.5703125" style="57" customWidth="1"/>
    <col min="149" max="149" width="18.7109375" bestFit="1" customWidth="1"/>
    <col min="150" max="150" width="21.7109375" bestFit="1" customWidth="1"/>
    <col min="151" max="151" width="12.7109375" bestFit="1" customWidth="1"/>
    <col min="153" max="153" width="21" bestFit="1" customWidth="1"/>
    <col min="154" max="154" width="3.42578125" style="57" customWidth="1"/>
    <col min="156" max="156" width="18.7109375" bestFit="1" customWidth="1"/>
    <col min="157" max="157" width="21.7109375" bestFit="1" customWidth="1"/>
    <col min="158" max="158" width="12.7109375" bestFit="1" customWidth="1"/>
    <col min="160" max="160" width="21" bestFit="1" customWidth="1"/>
  </cols>
  <sheetData>
    <row r="4" spans="1:160" x14ac:dyDescent="0.25">
      <c r="A4" s="382" t="s">
        <v>62</v>
      </c>
      <c r="B4" s="382"/>
      <c r="C4" s="382"/>
      <c r="H4" s="382" t="s">
        <v>62</v>
      </c>
      <c r="I4" s="382"/>
      <c r="J4" s="382"/>
      <c r="O4" s="382" t="s">
        <v>62</v>
      </c>
      <c r="P4" s="382"/>
      <c r="Q4" s="382"/>
      <c r="V4" s="382" t="s">
        <v>62</v>
      </c>
      <c r="W4" s="382"/>
      <c r="X4" s="382"/>
      <c r="AC4" s="382" t="s">
        <v>62</v>
      </c>
      <c r="AD4" s="382"/>
      <c r="AE4" s="382"/>
      <c r="AJ4" s="382" t="s">
        <v>62</v>
      </c>
      <c r="AK4" s="382"/>
      <c r="AL4" s="382"/>
      <c r="AQ4" s="382" t="s">
        <v>62</v>
      </c>
      <c r="AR4" s="382"/>
      <c r="AS4" s="382"/>
      <c r="AX4" s="382" t="s">
        <v>62</v>
      </c>
      <c r="AY4" s="382"/>
      <c r="AZ4" s="382"/>
      <c r="BE4" s="382" t="s">
        <v>62</v>
      </c>
      <c r="BF4" s="382"/>
      <c r="BG4" s="382"/>
      <c r="BL4" s="382" t="s">
        <v>62</v>
      </c>
      <c r="BM4" s="382"/>
      <c r="BN4" s="382"/>
      <c r="BS4" s="382" t="s">
        <v>62</v>
      </c>
      <c r="BT4" s="382"/>
      <c r="BU4" s="382"/>
      <c r="BZ4" s="382" t="s">
        <v>62</v>
      </c>
      <c r="CA4" s="382"/>
      <c r="CB4" s="382"/>
      <c r="CG4" s="382" t="s">
        <v>62</v>
      </c>
      <c r="CH4" s="382"/>
      <c r="CI4" s="382"/>
      <c r="CN4" s="382" t="s">
        <v>62</v>
      </c>
      <c r="CO4" s="382"/>
      <c r="CP4" s="382"/>
      <c r="CU4" s="382" t="s">
        <v>62</v>
      </c>
      <c r="CV4" s="382"/>
      <c r="CW4" s="382"/>
      <c r="DB4" s="382" t="s">
        <v>62</v>
      </c>
      <c r="DC4" s="382"/>
      <c r="DD4" s="382"/>
      <c r="DI4" s="382" t="s">
        <v>62</v>
      </c>
      <c r="DJ4" s="382"/>
      <c r="DK4" s="382"/>
      <c r="DP4" s="382" t="s">
        <v>62</v>
      </c>
      <c r="DQ4" s="382"/>
      <c r="DR4" s="382"/>
      <c r="DW4" s="382" t="s">
        <v>62</v>
      </c>
      <c r="DX4" s="382"/>
      <c r="DY4" s="382"/>
      <c r="ED4" s="382" t="s">
        <v>62</v>
      </c>
      <c r="EE4" s="382"/>
      <c r="EF4" s="382"/>
      <c r="EK4" s="382" t="s">
        <v>62</v>
      </c>
      <c r="EL4" s="382"/>
      <c r="EM4" s="382"/>
      <c r="ER4" s="382" t="s">
        <v>62</v>
      </c>
      <c r="ES4" s="382"/>
      <c r="ET4" s="382"/>
      <c r="EY4" s="382" t="s">
        <v>62</v>
      </c>
      <c r="EZ4" s="382"/>
      <c r="FA4" s="382"/>
    </row>
    <row r="5" spans="1:160" x14ac:dyDescent="0.25">
      <c r="A5" s="382"/>
      <c r="B5" s="382"/>
      <c r="C5" s="382"/>
      <c r="H5" s="382"/>
      <c r="I5" s="382"/>
      <c r="J5" s="382"/>
      <c r="O5" s="382"/>
      <c r="P5" s="382"/>
      <c r="Q5" s="382"/>
      <c r="V5" s="382"/>
      <c r="W5" s="382"/>
      <c r="X5" s="382"/>
      <c r="AC5" s="382"/>
      <c r="AD5" s="382"/>
      <c r="AE5" s="382"/>
      <c r="AJ5" s="382"/>
      <c r="AK5" s="382"/>
      <c r="AL5" s="382"/>
      <c r="AQ5" s="382"/>
      <c r="AR5" s="382"/>
      <c r="AS5" s="382"/>
      <c r="AX5" s="382"/>
      <c r="AY5" s="382"/>
      <c r="AZ5" s="382"/>
      <c r="BE5" s="382"/>
      <c r="BF5" s="382"/>
      <c r="BG5" s="382"/>
      <c r="BL5" s="382"/>
      <c r="BM5" s="382"/>
      <c r="BN5" s="382"/>
      <c r="BS5" s="382"/>
      <c r="BT5" s="382"/>
      <c r="BU5" s="382"/>
      <c r="BZ5" s="382"/>
      <c r="CA5" s="382"/>
      <c r="CB5" s="382"/>
      <c r="CG5" s="382"/>
      <c r="CH5" s="382"/>
      <c r="CI5" s="382"/>
      <c r="CN5" s="382"/>
      <c r="CO5" s="382"/>
      <c r="CP5" s="382"/>
      <c r="CU5" s="382"/>
      <c r="CV5" s="382"/>
      <c r="CW5" s="382"/>
      <c r="DB5" s="382"/>
      <c r="DC5" s="382"/>
      <c r="DD5" s="382"/>
      <c r="DI5" s="382"/>
      <c r="DJ5" s="382"/>
      <c r="DK5" s="382"/>
      <c r="DP5" s="382"/>
      <c r="DQ5" s="382"/>
      <c r="DR5" s="382"/>
      <c r="DW5" s="382"/>
      <c r="DX5" s="382"/>
      <c r="DY5" s="382"/>
      <c r="ED5" s="382"/>
      <c r="EE5" s="382"/>
      <c r="EF5" s="382"/>
      <c r="EK5" s="382"/>
      <c r="EL5" s="382"/>
      <c r="EM5" s="382"/>
      <c r="ER5" s="382"/>
      <c r="ES5" s="382"/>
      <c r="ET5" s="382"/>
      <c r="EY5" s="382"/>
      <c r="EZ5" s="382"/>
      <c r="FA5" s="382"/>
    </row>
    <row r="6" spans="1:160" x14ac:dyDescent="0.25">
      <c r="A6" s="382"/>
      <c r="B6" s="382"/>
      <c r="C6" s="382"/>
      <c r="H6" s="382"/>
      <c r="I6" s="382"/>
      <c r="J6" s="382"/>
      <c r="O6" s="382"/>
      <c r="P6" s="382"/>
      <c r="Q6" s="382"/>
      <c r="V6" s="382"/>
      <c r="W6" s="382"/>
      <c r="X6" s="382"/>
      <c r="AC6" s="382"/>
      <c r="AD6" s="382"/>
      <c r="AE6" s="382"/>
      <c r="AJ6" s="382"/>
      <c r="AK6" s="382"/>
      <c r="AL6" s="382"/>
      <c r="AQ6" s="382"/>
      <c r="AR6" s="382"/>
      <c r="AS6" s="382"/>
      <c r="AX6" s="382"/>
      <c r="AY6" s="382"/>
      <c r="AZ6" s="382"/>
      <c r="BE6" s="382"/>
      <c r="BF6" s="382"/>
      <c r="BG6" s="382"/>
      <c r="BL6" s="382"/>
      <c r="BM6" s="382"/>
      <c r="BN6" s="382"/>
      <c r="BS6" s="382"/>
      <c r="BT6" s="382"/>
      <c r="BU6" s="382"/>
      <c r="BZ6" s="382"/>
      <c r="CA6" s="382"/>
      <c r="CB6" s="382"/>
      <c r="CG6" s="382"/>
      <c r="CH6" s="382"/>
      <c r="CI6" s="382"/>
      <c r="CN6" s="382"/>
      <c r="CO6" s="382"/>
      <c r="CP6" s="382"/>
      <c r="CU6" s="382"/>
      <c r="CV6" s="382"/>
      <c r="CW6" s="382"/>
      <c r="DB6" s="382"/>
      <c r="DC6" s="382"/>
      <c r="DD6" s="382"/>
      <c r="DI6" s="382"/>
      <c r="DJ6" s="382"/>
      <c r="DK6" s="382"/>
      <c r="DP6" s="382"/>
      <c r="DQ6" s="382"/>
      <c r="DR6" s="382"/>
      <c r="DW6" s="382"/>
      <c r="DX6" s="382"/>
      <c r="DY6" s="382"/>
      <c r="ED6" s="382"/>
      <c r="EE6" s="382"/>
      <c r="EF6" s="382"/>
      <c r="EK6" s="382"/>
      <c r="EL6" s="382"/>
      <c r="EM6" s="382"/>
      <c r="ER6" s="382"/>
      <c r="ES6" s="382"/>
      <c r="ET6" s="382"/>
      <c r="EY6" s="382"/>
      <c r="EZ6" s="382"/>
      <c r="FA6" s="382"/>
    </row>
    <row r="9" spans="1:160" x14ac:dyDescent="0.25">
      <c r="A9" s="39" t="s">
        <v>63</v>
      </c>
      <c r="B9" s="39" t="s">
        <v>64</v>
      </c>
      <c r="C9" s="39" t="s">
        <v>3</v>
      </c>
      <c r="H9" s="39" t="s">
        <v>63</v>
      </c>
      <c r="I9" s="39" t="s">
        <v>64</v>
      </c>
      <c r="J9" s="39" t="s">
        <v>4</v>
      </c>
      <c r="O9" s="39" t="s">
        <v>63</v>
      </c>
      <c r="P9" s="39" t="s">
        <v>64</v>
      </c>
      <c r="Q9" s="39" t="s">
        <v>6</v>
      </c>
      <c r="V9" s="39" t="s">
        <v>63</v>
      </c>
      <c r="W9" s="39" t="s">
        <v>64</v>
      </c>
      <c r="X9" s="39" t="s">
        <v>8</v>
      </c>
      <c r="AC9" s="39" t="s">
        <v>63</v>
      </c>
      <c r="AD9" s="39" t="s">
        <v>64</v>
      </c>
      <c r="AE9" s="39" t="s">
        <v>12</v>
      </c>
      <c r="AJ9" s="39" t="s">
        <v>63</v>
      </c>
      <c r="AK9" s="39" t="s">
        <v>64</v>
      </c>
      <c r="AL9" s="39" t="s">
        <v>20</v>
      </c>
      <c r="AQ9" s="39" t="s">
        <v>63</v>
      </c>
      <c r="AR9" s="39" t="s">
        <v>64</v>
      </c>
      <c r="AS9" s="39" t="s">
        <v>22</v>
      </c>
      <c r="AX9" s="39" t="s">
        <v>63</v>
      </c>
      <c r="AY9" s="39" t="s">
        <v>64</v>
      </c>
      <c r="AZ9" s="39" t="s">
        <v>24</v>
      </c>
      <c r="BE9" s="39" t="s">
        <v>63</v>
      </c>
      <c r="BF9" s="39" t="s">
        <v>64</v>
      </c>
      <c r="BG9" s="39" t="s">
        <v>43</v>
      </c>
      <c r="BL9" s="39" t="s">
        <v>63</v>
      </c>
      <c r="BM9" s="39" t="s">
        <v>64</v>
      </c>
      <c r="BN9" s="39" t="s">
        <v>26</v>
      </c>
      <c r="BS9" s="39" t="s">
        <v>63</v>
      </c>
      <c r="BT9" s="39" t="s">
        <v>64</v>
      </c>
      <c r="BU9" s="39" t="s">
        <v>30</v>
      </c>
      <c r="BZ9" s="39" t="s">
        <v>63</v>
      </c>
      <c r="CA9" s="39" t="s">
        <v>64</v>
      </c>
      <c r="CB9" s="39" t="s">
        <v>35</v>
      </c>
      <c r="CG9" s="39" t="s">
        <v>63</v>
      </c>
      <c r="CH9" s="39" t="s">
        <v>64</v>
      </c>
      <c r="CI9" s="39" t="s">
        <v>36</v>
      </c>
      <c r="CN9" s="39" t="s">
        <v>63</v>
      </c>
      <c r="CO9" s="39" t="s">
        <v>64</v>
      </c>
      <c r="CP9" s="39" t="s">
        <v>37</v>
      </c>
      <c r="CU9" s="39" t="s">
        <v>63</v>
      </c>
      <c r="CV9" s="39" t="s">
        <v>64</v>
      </c>
      <c r="CW9" s="39" t="s">
        <v>38</v>
      </c>
      <c r="DB9" s="39" t="s">
        <v>63</v>
      </c>
      <c r="DC9" s="39" t="s">
        <v>64</v>
      </c>
      <c r="DD9" s="39" t="s">
        <v>7</v>
      </c>
      <c r="DI9" s="39" t="s">
        <v>63</v>
      </c>
      <c r="DJ9" s="39" t="s">
        <v>64</v>
      </c>
      <c r="DK9" s="39" t="s">
        <v>9</v>
      </c>
      <c r="DP9" s="39" t="s">
        <v>63</v>
      </c>
      <c r="DQ9" s="39" t="s">
        <v>64</v>
      </c>
      <c r="DR9" s="39" t="s">
        <v>79</v>
      </c>
      <c r="DW9" s="39" t="s">
        <v>63</v>
      </c>
      <c r="DX9" s="39" t="s">
        <v>64</v>
      </c>
      <c r="DY9" s="39" t="s">
        <v>80</v>
      </c>
      <c r="ED9" s="39" t="s">
        <v>63</v>
      </c>
      <c r="EE9" s="39" t="s">
        <v>64</v>
      </c>
      <c r="EF9" s="39" t="s">
        <v>81</v>
      </c>
      <c r="EK9" s="39" t="s">
        <v>63</v>
      </c>
      <c r="EL9" s="39" t="s">
        <v>64</v>
      </c>
      <c r="EM9" s="39" t="s">
        <v>21</v>
      </c>
      <c r="ER9" s="39" t="s">
        <v>63</v>
      </c>
      <c r="ES9" s="39" t="s">
        <v>64</v>
      </c>
      <c r="ET9" s="39" t="s">
        <v>23</v>
      </c>
      <c r="EY9" s="39" t="s">
        <v>63</v>
      </c>
      <c r="EZ9" s="39" t="s">
        <v>64</v>
      </c>
      <c r="FA9" s="39" t="s">
        <v>27</v>
      </c>
    </row>
    <row r="10" spans="1:160" x14ac:dyDescent="0.25">
      <c r="A10">
        <v>2017</v>
      </c>
      <c r="B10">
        <v>1</v>
      </c>
      <c r="C10" s="40">
        <f>+BALANCE!C10</f>
        <v>123418719</v>
      </c>
      <c r="H10">
        <v>2017</v>
      </c>
      <c r="I10">
        <v>1</v>
      </c>
      <c r="J10" s="40">
        <f>+BALANCE!C11</f>
        <v>39123528</v>
      </c>
      <c r="O10">
        <v>2017</v>
      </c>
      <c r="P10">
        <v>1</v>
      </c>
      <c r="Q10" s="40">
        <f>+BALANCE!C12</f>
        <v>264648969</v>
      </c>
      <c r="V10">
        <v>2017</v>
      </c>
      <c r="W10">
        <v>1</v>
      </c>
      <c r="X10" s="40">
        <f>+BALANCE!C13</f>
        <v>14015294</v>
      </c>
      <c r="AC10">
        <v>2017</v>
      </c>
      <c r="AD10">
        <v>1</v>
      </c>
      <c r="AE10" s="40">
        <f>+BALANCE!C15</f>
        <v>69419853</v>
      </c>
      <c r="AJ10">
        <v>2017</v>
      </c>
      <c r="AK10">
        <v>1</v>
      </c>
      <c r="AL10" s="40">
        <f>+BALANCE!C19</f>
        <v>0</v>
      </c>
      <c r="AQ10">
        <v>2017</v>
      </c>
      <c r="AR10">
        <v>1</v>
      </c>
      <c r="AS10" s="40">
        <f>+BALANCE!C20</f>
        <v>146347389</v>
      </c>
      <c r="AX10">
        <v>2017</v>
      </c>
      <c r="AY10">
        <v>1</v>
      </c>
      <c r="AZ10" s="40">
        <f>+BALANCE!C21</f>
        <v>77515099</v>
      </c>
      <c r="BE10">
        <v>2017</v>
      </c>
      <c r="BF10">
        <v>1</v>
      </c>
      <c r="BG10" s="40">
        <f>+BALANCE!C22</f>
        <v>49916491</v>
      </c>
      <c r="BL10">
        <v>2017</v>
      </c>
      <c r="BM10">
        <v>1</v>
      </c>
      <c r="BN10" s="40">
        <f>+BALANCE!C23</f>
        <v>67795057</v>
      </c>
      <c r="BS10">
        <v>2017</v>
      </c>
      <c r="BT10">
        <v>1</v>
      </c>
      <c r="BU10" s="40">
        <f>+BALANCE!C25</f>
        <v>48700000</v>
      </c>
      <c r="BZ10">
        <v>2017</v>
      </c>
      <c r="CA10">
        <v>1</v>
      </c>
      <c r="CB10" s="40">
        <f>+BALANCE!C29</f>
        <v>340000000</v>
      </c>
      <c r="CG10">
        <v>2017</v>
      </c>
      <c r="CH10">
        <v>1</v>
      </c>
      <c r="CI10" s="40">
        <f>+BALANCE!C30</f>
        <v>0</v>
      </c>
      <c r="CN10">
        <v>2017</v>
      </c>
      <c r="CO10">
        <v>1</v>
      </c>
      <c r="CP10" s="40">
        <f>+BALANCE!C31</f>
        <v>219647673</v>
      </c>
      <c r="CU10">
        <v>2017</v>
      </c>
      <c r="CV10">
        <v>1</v>
      </c>
      <c r="CW10" s="40">
        <f>+BALANCE!C32</f>
        <v>0</v>
      </c>
      <c r="DB10">
        <v>2017</v>
      </c>
      <c r="DC10">
        <v>1</v>
      </c>
      <c r="DD10" s="40">
        <f>+PYG!C10</f>
        <v>1262392367</v>
      </c>
      <c r="DI10">
        <v>2017</v>
      </c>
      <c r="DJ10">
        <v>1</v>
      </c>
      <c r="DK10" s="40">
        <f>+PYG!C11</f>
        <v>0</v>
      </c>
      <c r="DP10">
        <v>2017</v>
      </c>
      <c r="DQ10">
        <v>1</v>
      </c>
      <c r="DR10" s="40">
        <f>+PYG!C14</f>
        <v>8381414</v>
      </c>
      <c r="DW10">
        <v>2017</v>
      </c>
      <c r="DX10">
        <v>1</v>
      </c>
      <c r="DY10" s="40">
        <f>+PYG!C15</f>
        <v>1291765553</v>
      </c>
      <c r="ED10">
        <v>2017</v>
      </c>
      <c r="EE10">
        <v>1</v>
      </c>
      <c r="EF10" s="40">
        <f>+PYG!C16</f>
        <v>0</v>
      </c>
      <c r="EK10">
        <v>2017</v>
      </c>
      <c r="EL10">
        <v>1</v>
      </c>
      <c r="EM10" s="40">
        <f>+PYG!C20</f>
        <v>0</v>
      </c>
      <c r="ER10">
        <v>2017</v>
      </c>
      <c r="ES10">
        <v>1</v>
      </c>
      <c r="ET10" s="40">
        <f>+PYG!C21</f>
        <v>29325811</v>
      </c>
      <c r="EY10">
        <v>2017</v>
      </c>
      <c r="EZ10">
        <v>1</v>
      </c>
      <c r="FA10" s="40">
        <f>+PYG!C23</f>
        <v>2055000</v>
      </c>
    </row>
    <row r="11" spans="1:160" x14ac:dyDescent="0.25">
      <c r="A11">
        <v>2018</v>
      </c>
      <c r="B11">
        <v>2</v>
      </c>
      <c r="C11" s="40">
        <f>+BALANCE!D10</f>
        <v>196563193</v>
      </c>
      <c r="H11">
        <v>2018</v>
      </c>
      <c r="I11">
        <v>2</v>
      </c>
      <c r="J11" s="40">
        <f>+BALANCE!D11</f>
        <v>81214177</v>
      </c>
      <c r="O11">
        <v>2018</v>
      </c>
      <c r="P11">
        <v>2</v>
      </c>
      <c r="Q11" s="40">
        <f>+BALANCE!D12</f>
        <v>368327627</v>
      </c>
      <c r="V11">
        <v>2018</v>
      </c>
      <c r="W11">
        <v>2</v>
      </c>
      <c r="X11" s="40">
        <f>+BALANCE!D13</f>
        <v>18698322</v>
      </c>
      <c r="AC11">
        <v>2018</v>
      </c>
      <c r="AD11">
        <v>2</v>
      </c>
      <c r="AE11" s="40">
        <f>+BALANCE!D15</f>
        <v>53523328</v>
      </c>
      <c r="AJ11">
        <v>2018</v>
      </c>
      <c r="AK11">
        <v>2</v>
      </c>
      <c r="AL11" s="40">
        <f>+BALANCE!D19</f>
        <v>0</v>
      </c>
      <c r="AQ11">
        <v>2018</v>
      </c>
      <c r="AR11">
        <v>2</v>
      </c>
      <c r="AS11" s="40">
        <f>+BALANCE!D20</f>
        <v>322074837</v>
      </c>
      <c r="AX11">
        <v>2018</v>
      </c>
      <c r="AY11">
        <v>2</v>
      </c>
      <c r="AZ11" s="40">
        <f>+BALANCE!D21</f>
        <v>83230267</v>
      </c>
      <c r="BE11">
        <v>2018</v>
      </c>
      <c r="BF11">
        <v>2</v>
      </c>
      <c r="BG11" s="40">
        <f>+BALANCE!D22</f>
        <v>55812268</v>
      </c>
      <c r="BL11">
        <v>2018</v>
      </c>
      <c r="BM11">
        <v>2</v>
      </c>
      <c r="BN11" s="40">
        <f>+BALANCE!D23</f>
        <v>116701328</v>
      </c>
      <c r="BS11">
        <v>2018</v>
      </c>
      <c r="BT11">
        <v>2</v>
      </c>
      <c r="BU11" s="40">
        <f>+BALANCE!D25</f>
        <v>48329718</v>
      </c>
      <c r="BZ11">
        <v>2018</v>
      </c>
      <c r="CA11">
        <v>2</v>
      </c>
      <c r="CB11" s="40">
        <f>+BALANCE!D29</f>
        <v>340000000</v>
      </c>
      <c r="CG11">
        <v>2018</v>
      </c>
      <c r="CH11">
        <v>2</v>
      </c>
      <c r="CI11" s="40">
        <f>+BALANCE!D30</f>
        <v>0</v>
      </c>
      <c r="CN11">
        <v>2018</v>
      </c>
      <c r="CO11">
        <v>2</v>
      </c>
      <c r="CP11" s="40">
        <f>+BALANCE!D31</f>
        <v>247821771</v>
      </c>
      <c r="CU11">
        <v>2018</v>
      </c>
      <c r="CV11">
        <v>2</v>
      </c>
      <c r="CW11" s="40">
        <f>+BALANCE!D32</f>
        <v>0</v>
      </c>
      <c r="DB11">
        <v>2018</v>
      </c>
      <c r="DC11">
        <v>2</v>
      </c>
      <c r="DD11" s="40">
        <f>+PYG!D10</f>
        <v>1860941447</v>
      </c>
      <c r="DI11">
        <v>2018</v>
      </c>
      <c r="DJ11">
        <v>2</v>
      </c>
      <c r="DK11" s="40">
        <f>+PYG!D11</f>
        <v>0</v>
      </c>
      <c r="DP11">
        <v>2018</v>
      </c>
      <c r="DQ11">
        <v>2</v>
      </c>
      <c r="DR11" s="40">
        <f>+PYG!D14</f>
        <v>8895908</v>
      </c>
      <c r="DW11">
        <v>2018</v>
      </c>
      <c r="DX11">
        <v>2</v>
      </c>
      <c r="DY11" s="40">
        <f>+PYG!D15</f>
        <v>1878936621</v>
      </c>
      <c r="ED11">
        <v>2018</v>
      </c>
      <c r="EE11">
        <v>2</v>
      </c>
      <c r="EF11" s="40">
        <f>+PYG!D16</f>
        <v>0</v>
      </c>
      <c r="EK11">
        <v>2018</v>
      </c>
      <c r="EL11">
        <v>2</v>
      </c>
      <c r="EM11" s="40">
        <f>+PYG!D20</f>
        <v>0</v>
      </c>
      <c r="ER11">
        <v>2018</v>
      </c>
      <c r="ES11">
        <v>2</v>
      </c>
      <c r="ET11" s="40">
        <f>+PYG!D21</f>
        <v>19271845</v>
      </c>
      <c r="EY11">
        <v>2018</v>
      </c>
      <c r="EZ11">
        <v>2</v>
      </c>
      <c r="FA11" s="40">
        <f>+PYG!D23</f>
        <v>1390000</v>
      </c>
    </row>
    <row r="12" spans="1:160" x14ac:dyDescent="0.25">
      <c r="A12">
        <v>2019</v>
      </c>
      <c r="B12">
        <v>3</v>
      </c>
      <c r="C12" s="40">
        <f>+BALANCE!E10</f>
        <v>49372907</v>
      </c>
      <c r="H12">
        <v>2019</v>
      </c>
      <c r="I12">
        <v>3</v>
      </c>
      <c r="J12" s="40">
        <f>+BALANCE!E11</f>
        <v>72801761</v>
      </c>
      <c r="O12">
        <v>2019</v>
      </c>
      <c r="P12">
        <v>3</v>
      </c>
      <c r="Q12" s="40">
        <f>+BALANCE!E12</f>
        <v>312764949</v>
      </c>
      <c r="V12">
        <v>2019</v>
      </c>
      <c r="W12">
        <v>3</v>
      </c>
      <c r="X12" s="40">
        <f>+BALANCE!E13</f>
        <v>239753949</v>
      </c>
      <c r="AC12">
        <v>2019</v>
      </c>
      <c r="AD12">
        <v>3</v>
      </c>
      <c r="AE12" s="40">
        <f>+BALANCE!E15</f>
        <v>63501714</v>
      </c>
      <c r="AJ12">
        <v>2019</v>
      </c>
      <c r="AK12">
        <v>3</v>
      </c>
      <c r="AL12" s="40">
        <f>+BALANCE!E19</f>
        <v>82762293</v>
      </c>
      <c r="AQ12">
        <v>2019</v>
      </c>
      <c r="AR12">
        <v>3</v>
      </c>
      <c r="AS12" s="40">
        <f>+BALANCE!E20</f>
        <v>248104135</v>
      </c>
      <c r="AX12">
        <v>2019</v>
      </c>
      <c r="AY12">
        <v>3</v>
      </c>
      <c r="AZ12" s="40">
        <f>+BALANCE!E21</f>
        <v>135197778</v>
      </c>
      <c r="BE12">
        <v>2019</v>
      </c>
      <c r="BF12">
        <v>3</v>
      </c>
      <c r="BG12" s="40">
        <f>+BALANCE!E22</f>
        <v>0</v>
      </c>
      <c r="BL12">
        <v>2019</v>
      </c>
      <c r="BM12">
        <v>3</v>
      </c>
      <c r="BN12" s="40">
        <f>+BALANCE!E23</f>
        <v>41535493</v>
      </c>
      <c r="BS12">
        <v>2019</v>
      </c>
      <c r="BT12">
        <v>3</v>
      </c>
      <c r="BU12" s="40">
        <f>+BALANCE!E25</f>
        <v>36336498</v>
      </c>
      <c r="BZ12">
        <v>2019</v>
      </c>
      <c r="CA12">
        <v>3</v>
      </c>
      <c r="CB12" s="40">
        <f>+BALANCE!E29</f>
        <v>340000000</v>
      </c>
      <c r="CG12">
        <v>2019</v>
      </c>
      <c r="CH12">
        <v>3</v>
      </c>
      <c r="CI12" s="40">
        <f>+BALANCE!E30</f>
        <v>0</v>
      </c>
      <c r="CN12">
        <v>2019</v>
      </c>
      <c r="CO12">
        <v>3</v>
      </c>
      <c r="CP12" s="40">
        <f>+BALANCE!E31</f>
        <v>248771771</v>
      </c>
      <c r="CU12">
        <v>2019</v>
      </c>
      <c r="CV12">
        <v>3</v>
      </c>
      <c r="CW12" s="40">
        <f>+BALANCE!E32</f>
        <v>103030854</v>
      </c>
      <c r="DB12">
        <v>2019</v>
      </c>
      <c r="DC12">
        <v>3</v>
      </c>
      <c r="DD12" s="40">
        <f>+PYG!E10</f>
        <v>2869401050</v>
      </c>
      <c r="DI12">
        <v>2019</v>
      </c>
      <c r="DJ12">
        <v>3</v>
      </c>
      <c r="DK12" s="40">
        <f>+PYG!E11</f>
        <v>1504556463</v>
      </c>
      <c r="DP12">
        <v>2019</v>
      </c>
      <c r="DQ12">
        <v>3</v>
      </c>
      <c r="DR12" s="40">
        <f>+PYG!E14</f>
        <v>597205</v>
      </c>
      <c r="DW12">
        <v>2019</v>
      </c>
      <c r="DX12">
        <v>3</v>
      </c>
      <c r="DY12" s="40">
        <f>+PYG!E15</f>
        <v>1180030203</v>
      </c>
      <c r="ED12">
        <v>2019</v>
      </c>
      <c r="EE12">
        <v>3</v>
      </c>
      <c r="EF12" s="40">
        <f>+PYG!E16</f>
        <v>0</v>
      </c>
      <c r="EK12">
        <v>2019</v>
      </c>
      <c r="EL12">
        <v>3</v>
      </c>
      <c r="EM12" s="40">
        <f>+PYG!E20</f>
        <v>152220</v>
      </c>
      <c r="ER12">
        <v>2019</v>
      </c>
      <c r="ES12">
        <v>3</v>
      </c>
      <c r="ET12" s="40">
        <f>+PYG!E21</f>
        <v>22743955</v>
      </c>
      <c r="EY12">
        <v>2019</v>
      </c>
      <c r="EZ12">
        <v>3</v>
      </c>
      <c r="FA12" s="40">
        <f>+PYG!E23</f>
        <v>59789000</v>
      </c>
    </row>
    <row r="13" spans="1:160" x14ac:dyDescent="0.25">
      <c r="A13">
        <v>2020</v>
      </c>
      <c r="B13">
        <v>4</v>
      </c>
      <c r="C13" s="40">
        <f>+BALANCE!F10</f>
        <v>100663317</v>
      </c>
      <c r="H13">
        <v>2020</v>
      </c>
      <c r="I13">
        <v>4</v>
      </c>
      <c r="J13" s="40">
        <f>+BALANCE!F11</f>
        <v>209155086</v>
      </c>
      <c r="O13">
        <v>2020</v>
      </c>
      <c r="P13">
        <v>4</v>
      </c>
      <c r="Q13" s="40">
        <f>+BALANCE!F12</f>
        <v>312353000</v>
      </c>
      <c r="V13">
        <v>2020</v>
      </c>
      <c r="W13">
        <v>4</v>
      </c>
      <c r="X13" s="40">
        <f>+BALANCE!F13</f>
        <v>189833537</v>
      </c>
      <c r="AC13">
        <v>2020</v>
      </c>
      <c r="AD13">
        <v>4</v>
      </c>
      <c r="AE13" s="40">
        <f>+BALANCE!F15</f>
        <v>171261779</v>
      </c>
      <c r="AJ13">
        <v>2020</v>
      </c>
      <c r="AK13">
        <v>4</v>
      </c>
      <c r="AL13" s="40">
        <f>+BALANCE!F19</f>
        <v>163796625</v>
      </c>
      <c r="AQ13">
        <v>2020</v>
      </c>
      <c r="AR13">
        <v>4</v>
      </c>
      <c r="AS13" s="40">
        <f>+BALANCE!F20</f>
        <v>135224000</v>
      </c>
      <c r="AX13">
        <v>2020</v>
      </c>
      <c r="AY13">
        <v>4</v>
      </c>
      <c r="AZ13" s="40">
        <f>+BALANCE!F21</f>
        <v>135153397</v>
      </c>
      <c r="BE13">
        <v>2020</v>
      </c>
      <c r="BF13">
        <v>4</v>
      </c>
      <c r="BG13" s="40">
        <f>+BALANCE!F22</f>
        <v>0</v>
      </c>
      <c r="BL13">
        <v>2020</v>
      </c>
      <c r="BM13">
        <v>4</v>
      </c>
      <c r="BN13" s="40">
        <f>+BALANCE!F23</f>
        <v>84072716</v>
      </c>
      <c r="BS13">
        <v>2020</v>
      </c>
      <c r="BT13">
        <v>4</v>
      </c>
      <c r="BU13" s="40">
        <f>+BALANCE!F25</f>
        <v>36336498</v>
      </c>
      <c r="BZ13">
        <v>2020</v>
      </c>
      <c r="CA13">
        <v>4</v>
      </c>
      <c r="CB13" s="40">
        <f>+BALANCE!F29</f>
        <v>340000000</v>
      </c>
      <c r="CG13">
        <v>2020</v>
      </c>
      <c r="CH13">
        <v>4</v>
      </c>
      <c r="CI13" s="40">
        <f>+BALANCE!F30</f>
        <v>10303086</v>
      </c>
      <c r="CN13">
        <v>2020</v>
      </c>
      <c r="CO13">
        <v>4</v>
      </c>
      <c r="CP13" s="40">
        <f>+BALANCE!F31</f>
        <v>156044000</v>
      </c>
      <c r="CU13">
        <v>2020</v>
      </c>
      <c r="CV13">
        <v>4</v>
      </c>
      <c r="CW13" s="40">
        <f>+BALANCE!F32</f>
        <v>234424397</v>
      </c>
      <c r="DB13">
        <v>2020</v>
      </c>
      <c r="DC13">
        <v>4</v>
      </c>
      <c r="DD13" s="40">
        <f>+PYG!F10</f>
        <v>3417084270</v>
      </c>
      <c r="DI13">
        <v>2020</v>
      </c>
      <c r="DJ13">
        <v>4</v>
      </c>
      <c r="DK13" s="40">
        <f>+PYG!F11</f>
        <v>1769012091</v>
      </c>
      <c r="DP13">
        <v>2020</v>
      </c>
      <c r="DQ13">
        <v>4</v>
      </c>
      <c r="DR13" s="40">
        <f>+PYG!F14</f>
        <v>26627619</v>
      </c>
      <c r="DW13">
        <v>2020</v>
      </c>
      <c r="DX13">
        <v>4</v>
      </c>
      <c r="DY13" s="40">
        <f>+PYG!F15</f>
        <v>1343458823</v>
      </c>
      <c r="ED13">
        <v>2020</v>
      </c>
      <c r="EE13">
        <v>4</v>
      </c>
      <c r="EF13" s="40">
        <f>+PYG!F16</f>
        <v>0</v>
      </c>
      <c r="EK13">
        <v>2020</v>
      </c>
      <c r="EL13">
        <v>4</v>
      </c>
      <c r="EM13" s="40">
        <f>+PYG!F20</f>
        <v>4955622</v>
      </c>
      <c r="ER13">
        <v>2020</v>
      </c>
      <c r="ES13">
        <v>4</v>
      </c>
      <c r="ET13" s="40">
        <f>+PYG!F21</f>
        <v>22040201</v>
      </c>
      <c r="EY13">
        <v>2020</v>
      </c>
      <c r="EZ13">
        <v>4</v>
      </c>
      <c r="FA13" s="40">
        <f>+PYG!F23</f>
        <v>79732000</v>
      </c>
    </row>
    <row r="15" spans="1:160" x14ac:dyDescent="0.25">
      <c r="A15" s="36" t="s">
        <v>65</v>
      </c>
      <c r="B15" s="36"/>
      <c r="C15" s="36"/>
      <c r="D15" s="36"/>
      <c r="E15" s="36"/>
      <c r="F15" s="36"/>
      <c r="H15" s="36" t="s">
        <v>65</v>
      </c>
      <c r="I15" s="36"/>
      <c r="J15" s="36"/>
      <c r="K15" s="36"/>
      <c r="L15" s="36"/>
      <c r="M15" s="36"/>
      <c r="O15" s="36" t="s">
        <v>65</v>
      </c>
      <c r="P15" s="36"/>
      <c r="Q15" s="36"/>
      <c r="R15" s="36"/>
      <c r="S15" s="36"/>
      <c r="T15" s="36"/>
      <c r="V15" s="36" t="s">
        <v>65</v>
      </c>
      <c r="W15" s="36"/>
      <c r="X15" s="36"/>
      <c r="Y15" s="36"/>
      <c r="Z15" s="36"/>
      <c r="AA15" s="36"/>
      <c r="AC15" s="36" t="s">
        <v>65</v>
      </c>
      <c r="AD15" s="36"/>
      <c r="AE15" s="36"/>
      <c r="AF15" s="36"/>
      <c r="AG15" s="36"/>
      <c r="AH15" s="36"/>
      <c r="AJ15" s="36" t="s">
        <v>65</v>
      </c>
      <c r="AK15" s="36"/>
      <c r="AL15" s="36"/>
      <c r="AM15" s="36"/>
      <c r="AN15" s="36"/>
      <c r="AO15" s="36"/>
      <c r="AQ15" s="36" t="s">
        <v>65</v>
      </c>
      <c r="AR15" s="36"/>
      <c r="AS15" s="36"/>
      <c r="AT15" s="36"/>
      <c r="AU15" s="36"/>
      <c r="AV15" s="36"/>
      <c r="AX15" s="36" t="s">
        <v>65</v>
      </c>
      <c r="AY15" s="36"/>
      <c r="AZ15" s="36"/>
      <c r="BA15" s="36"/>
      <c r="BB15" s="36"/>
      <c r="BC15" s="36"/>
      <c r="BE15" s="36" t="s">
        <v>65</v>
      </c>
      <c r="BF15" s="36"/>
      <c r="BG15" s="36"/>
      <c r="BH15" s="36"/>
      <c r="BI15" s="36"/>
      <c r="BJ15" s="36"/>
      <c r="BL15" s="36" t="s">
        <v>65</v>
      </c>
      <c r="BM15" s="36"/>
      <c r="BN15" s="36"/>
      <c r="BO15" s="36"/>
      <c r="BP15" s="36"/>
      <c r="BQ15" s="36"/>
      <c r="BS15" s="36" t="s">
        <v>65</v>
      </c>
      <c r="BT15" s="36"/>
      <c r="BU15" s="36"/>
      <c r="BV15" s="36"/>
      <c r="BW15" s="36"/>
      <c r="BX15" s="36"/>
      <c r="BZ15" s="36" t="s">
        <v>65</v>
      </c>
      <c r="CA15" s="36"/>
      <c r="CB15" s="36"/>
      <c r="CC15" s="36"/>
      <c r="CD15" s="36"/>
      <c r="CE15" s="36"/>
      <c r="CG15" s="36" t="s">
        <v>65</v>
      </c>
      <c r="CH15" s="36"/>
      <c r="CI15" s="36"/>
      <c r="CJ15" s="36"/>
      <c r="CK15" s="36"/>
      <c r="CL15" s="36"/>
      <c r="CN15" s="36" t="s">
        <v>65</v>
      </c>
      <c r="CO15" s="36"/>
      <c r="CP15" s="36"/>
      <c r="CQ15" s="36"/>
      <c r="CR15" s="36"/>
      <c r="CS15" s="36"/>
      <c r="CU15" s="36" t="s">
        <v>65</v>
      </c>
      <c r="CV15" s="36"/>
      <c r="CW15" s="36"/>
      <c r="CX15" s="36"/>
      <c r="CY15" s="36"/>
      <c r="CZ15" s="36"/>
      <c r="DB15" s="36" t="s">
        <v>65</v>
      </c>
      <c r="DC15" s="36"/>
      <c r="DD15" s="36"/>
      <c r="DE15" s="36"/>
      <c r="DF15" s="36"/>
      <c r="DG15" s="36"/>
      <c r="DI15" s="36" t="s">
        <v>65</v>
      </c>
      <c r="DJ15" s="36"/>
      <c r="DK15" s="36"/>
      <c r="DL15" s="36"/>
      <c r="DM15" s="36"/>
      <c r="DN15" s="36"/>
      <c r="DP15" s="36" t="s">
        <v>65</v>
      </c>
      <c r="DQ15" s="36"/>
      <c r="DR15" s="36"/>
      <c r="DS15" s="36"/>
      <c r="DT15" s="36"/>
      <c r="DU15" s="36"/>
      <c r="DW15" s="36" t="s">
        <v>65</v>
      </c>
      <c r="DX15" s="36"/>
      <c r="DY15" s="36"/>
      <c r="DZ15" s="36"/>
      <c r="EA15" s="36"/>
      <c r="EB15" s="36"/>
      <c r="ED15" s="36" t="s">
        <v>65</v>
      </c>
      <c r="EE15" s="36"/>
      <c r="EF15" s="36"/>
      <c r="EG15" s="36"/>
      <c r="EH15" s="36"/>
      <c r="EI15" s="36"/>
      <c r="EK15" s="36" t="s">
        <v>65</v>
      </c>
      <c r="EL15" s="36"/>
      <c r="EM15" s="36"/>
      <c r="EN15" s="36"/>
      <c r="EO15" s="36"/>
      <c r="EP15" s="36"/>
      <c r="ER15" s="36" t="s">
        <v>65</v>
      </c>
      <c r="ES15" s="36"/>
      <c r="ET15" s="36"/>
      <c r="EU15" s="36"/>
      <c r="EV15" s="36"/>
      <c r="EW15" s="36"/>
      <c r="EY15" s="36" t="s">
        <v>65</v>
      </c>
      <c r="EZ15" s="36"/>
      <c r="FA15" s="36"/>
      <c r="FB15" s="36"/>
      <c r="FC15" s="36"/>
      <c r="FD15" s="36"/>
    </row>
    <row r="17" spans="1:160" x14ac:dyDescent="0.25">
      <c r="A17" s="39" t="s">
        <v>63</v>
      </c>
      <c r="B17" s="39" t="s">
        <v>66</v>
      </c>
      <c r="C17" s="39" t="s">
        <v>67</v>
      </c>
      <c r="D17" s="39" t="s">
        <v>68</v>
      </c>
      <c r="E17" s="39" t="s">
        <v>69</v>
      </c>
      <c r="F17" s="39" t="s">
        <v>70</v>
      </c>
      <c r="H17" s="39" t="s">
        <v>63</v>
      </c>
      <c r="I17" s="39" t="s">
        <v>66</v>
      </c>
      <c r="J17" s="39" t="s">
        <v>67</v>
      </c>
      <c r="K17" s="39" t="s">
        <v>68</v>
      </c>
      <c r="L17" s="39" t="s">
        <v>69</v>
      </c>
      <c r="M17" s="39" t="s">
        <v>70</v>
      </c>
      <c r="O17" s="39" t="s">
        <v>63</v>
      </c>
      <c r="P17" s="39" t="s">
        <v>66</v>
      </c>
      <c r="Q17" s="39" t="s">
        <v>67</v>
      </c>
      <c r="R17" s="39" t="s">
        <v>68</v>
      </c>
      <c r="S17" s="39" t="s">
        <v>69</v>
      </c>
      <c r="T17" s="39" t="s">
        <v>70</v>
      </c>
      <c r="V17" s="39" t="s">
        <v>63</v>
      </c>
      <c r="W17" s="39" t="s">
        <v>66</v>
      </c>
      <c r="X17" s="39" t="s">
        <v>67</v>
      </c>
      <c r="Y17" s="39" t="s">
        <v>68</v>
      </c>
      <c r="Z17" s="39" t="s">
        <v>69</v>
      </c>
      <c r="AA17" s="39" t="s">
        <v>70</v>
      </c>
      <c r="AC17" s="39" t="s">
        <v>63</v>
      </c>
      <c r="AD17" s="39" t="s">
        <v>66</v>
      </c>
      <c r="AE17" s="39" t="s">
        <v>67</v>
      </c>
      <c r="AF17" s="39" t="s">
        <v>68</v>
      </c>
      <c r="AG17" s="39" t="s">
        <v>69</v>
      </c>
      <c r="AH17" s="39" t="s">
        <v>70</v>
      </c>
      <c r="AJ17" s="39" t="s">
        <v>63</v>
      </c>
      <c r="AK17" s="39" t="s">
        <v>66</v>
      </c>
      <c r="AL17" s="39" t="s">
        <v>67</v>
      </c>
      <c r="AM17" s="39" t="s">
        <v>68</v>
      </c>
      <c r="AN17" s="39" t="s">
        <v>69</v>
      </c>
      <c r="AO17" s="39" t="s">
        <v>70</v>
      </c>
      <c r="AQ17" s="39" t="s">
        <v>63</v>
      </c>
      <c r="AR17" s="39" t="s">
        <v>66</v>
      </c>
      <c r="AS17" s="39" t="s">
        <v>67</v>
      </c>
      <c r="AT17" s="39" t="s">
        <v>68</v>
      </c>
      <c r="AU17" s="39" t="s">
        <v>69</v>
      </c>
      <c r="AV17" s="39" t="s">
        <v>70</v>
      </c>
      <c r="AX17" s="39" t="s">
        <v>63</v>
      </c>
      <c r="AY17" s="39" t="s">
        <v>66</v>
      </c>
      <c r="AZ17" s="39" t="s">
        <v>67</v>
      </c>
      <c r="BA17" s="39" t="s">
        <v>68</v>
      </c>
      <c r="BB17" s="39" t="s">
        <v>69</v>
      </c>
      <c r="BC17" s="39" t="s">
        <v>70</v>
      </c>
      <c r="BE17" s="39" t="s">
        <v>63</v>
      </c>
      <c r="BF17" s="39" t="s">
        <v>66</v>
      </c>
      <c r="BG17" s="39" t="s">
        <v>67</v>
      </c>
      <c r="BH17" s="39" t="s">
        <v>68</v>
      </c>
      <c r="BI17" s="39" t="s">
        <v>69</v>
      </c>
      <c r="BJ17" s="39" t="s">
        <v>70</v>
      </c>
      <c r="BL17" s="39" t="s">
        <v>63</v>
      </c>
      <c r="BM17" s="39" t="s">
        <v>66</v>
      </c>
      <c r="BN17" s="39" t="s">
        <v>67</v>
      </c>
      <c r="BO17" s="39" t="s">
        <v>68</v>
      </c>
      <c r="BP17" s="39" t="s">
        <v>69</v>
      </c>
      <c r="BQ17" s="39" t="s">
        <v>70</v>
      </c>
      <c r="BS17" s="39" t="s">
        <v>63</v>
      </c>
      <c r="BT17" s="39" t="s">
        <v>66</v>
      </c>
      <c r="BU17" s="39" t="s">
        <v>67</v>
      </c>
      <c r="BV17" s="39" t="s">
        <v>68</v>
      </c>
      <c r="BW17" s="39" t="s">
        <v>69</v>
      </c>
      <c r="BX17" s="39" t="s">
        <v>70</v>
      </c>
      <c r="BZ17" s="39" t="s">
        <v>63</v>
      </c>
      <c r="CA17" s="39" t="s">
        <v>66</v>
      </c>
      <c r="CB17" s="39" t="s">
        <v>67</v>
      </c>
      <c r="CC17" s="39" t="s">
        <v>68</v>
      </c>
      <c r="CD17" s="39" t="s">
        <v>69</v>
      </c>
      <c r="CE17" s="39" t="s">
        <v>70</v>
      </c>
      <c r="CG17" s="39" t="s">
        <v>63</v>
      </c>
      <c r="CH17" s="39" t="s">
        <v>66</v>
      </c>
      <c r="CI17" s="39" t="s">
        <v>67</v>
      </c>
      <c r="CJ17" s="39" t="s">
        <v>68</v>
      </c>
      <c r="CK17" s="39" t="s">
        <v>69</v>
      </c>
      <c r="CL17" s="39" t="s">
        <v>70</v>
      </c>
      <c r="CN17" s="39" t="s">
        <v>63</v>
      </c>
      <c r="CO17" s="39" t="s">
        <v>66</v>
      </c>
      <c r="CP17" s="39" t="s">
        <v>67</v>
      </c>
      <c r="CQ17" s="39" t="s">
        <v>68</v>
      </c>
      <c r="CR17" s="39" t="s">
        <v>69</v>
      </c>
      <c r="CS17" s="39" t="s">
        <v>70</v>
      </c>
      <c r="CU17" s="39" t="s">
        <v>63</v>
      </c>
      <c r="CV17" s="39" t="s">
        <v>66</v>
      </c>
      <c r="CW17" s="39" t="s">
        <v>67</v>
      </c>
      <c r="CX17" s="39" t="s">
        <v>68</v>
      </c>
      <c r="CY17" s="39" t="s">
        <v>69</v>
      </c>
      <c r="CZ17" s="39" t="s">
        <v>70</v>
      </c>
      <c r="DB17" s="39" t="s">
        <v>63</v>
      </c>
      <c r="DC17" s="39" t="s">
        <v>66</v>
      </c>
      <c r="DD17" s="39" t="s">
        <v>67</v>
      </c>
      <c r="DE17" s="39" t="s">
        <v>68</v>
      </c>
      <c r="DF17" s="39" t="s">
        <v>69</v>
      </c>
      <c r="DG17" s="39" t="s">
        <v>70</v>
      </c>
      <c r="DI17" s="39" t="s">
        <v>63</v>
      </c>
      <c r="DJ17" s="39" t="s">
        <v>66</v>
      </c>
      <c r="DK17" s="39" t="s">
        <v>67</v>
      </c>
      <c r="DL17" s="39" t="s">
        <v>68</v>
      </c>
      <c r="DM17" s="39" t="s">
        <v>69</v>
      </c>
      <c r="DN17" s="39" t="s">
        <v>70</v>
      </c>
      <c r="DP17" s="39" t="s">
        <v>63</v>
      </c>
      <c r="DQ17" s="39" t="s">
        <v>66</v>
      </c>
      <c r="DR17" s="39" t="s">
        <v>67</v>
      </c>
      <c r="DS17" s="39" t="s">
        <v>68</v>
      </c>
      <c r="DT17" s="39" t="s">
        <v>69</v>
      </c>
      <c r="DU17" s="39" t="s">
        <v>70</v>
      </c>
      <c r="DW17" s="39" t="s">
        <v>63</v>
      </c>
      <c r="DX17" s="39" t="s">
        <v>66</v>
      </c>
      <c r="DY17" s="39" t="s">
        <v>67</v>
      </c>
      <c r="DZ17" s="39" t="s">
        <v>68</v>
      </c>
      <c r="EA17" s="39" t="s">
        <v>69</v>
      </c>
      <c r="EB17" s="39" t="s">
        <v>70</v>
      </c>
      <c r="ED17" s="39" t="s">
        <v>63</v>
      </c>
      <c r="EE17" s="39" t="s">
        <v>66</v>
      </c>
      <c r="EF17" s="39" t="s">
        <v>67</v>
      </c>
      <c r="EG17" s="39" t="s">
        <v>68</v>
      </c>
      <c r="EH17" s="39" t="s">
        <v>69</v>
      </c>
      <c r="EI17" s="39" t="s">
        <v>70</v>
      </c>
      <c r="EK17" s="39" t="s">
        <v>63</v>
      </c>
      <c r="EL17" s="39" t="s">
        <v>66</v>
      </c>
      <c r="EM17" s="39" t="s">
        <v>67</v>
      </c>
      <c r="EN17" s="39" t="s">
        <v>68</v>
      </c>
      <c r="EO17" s="39" t="s">
        <v>69</v>
      </c>
      <c r="EP17" s="39" t="s">
        <v>70</v>
      </c>
      <c r="ER17" s="39" t="s">
        <v>63</v>
      </c>
      <c r="ES17" s="39" t="s">
        <v>66</v>
      </c>
      <c r="ET17" s="39" t="s">
        <v>67</v>
      </c>
      <c r="EU17" s="39" t="s">
        <v>68</v>
      </c>
      <c r="EV17" s="39" t="s">
        <v>69</v>
      </c>
      <c r="EW17" s="39" t="s">
        <v>70</v>
      </c>
      <c r="EY17" s="39" t="s">
        <v>63</v>
      </c>
      <c r="EZ17" s="39" t="s">
        <v>66</v>
      </c>
      <c r="FA17" s="39" t="s">
        <v>67</v>
      </c>
      <c r="FB17" s="39" t="s">
        <v>68</v>
      </c>
      <c r="FC17" s="39" t="s">
        <v>69</v>
      </c>
      <c r="FD17" s="39" t="s">
        <v>70</v>
      </c>
    </row>
    <row r="18" spans="1:160" x14ac:dyDescent="0.25">
      <c r="A18">
        <v>2017</v>
      </c>
      <c r="B18" s="38">
        <v>1</v>
      </c>
      <c r="C18" s="41">
        <f>+C10</f>
        <v>123418719</v>
      </c>
      <c r="D18" s="42">
        <f>+B18*C18</f>
        <v>123418719</v>
      </c>
      <c r="E18" s="42">
        <f>B18^2</f>
        <v>1</v>
      </c>
      <c r="F18" s="42">
        <f>C18^2</f>
        <v>1.523218019960096E+16</v>
      </c>
      <c r="H18">
        <v>2017</v>
      </c>
      <c r="I18" s="38">
        <v>1</v>
      </c>
      <c r="J18" s="41">
        <f>+J10</f>
        <v>39123528</v>
      </c>
      <c r="K18" s="42">
        <f>+I18*J18</f>
        <v>39123528</v>
      </c>
      <c r="L18" s="42">
        <f t="shared" ref="L18:M21" si="0">I18^2</f>
        <v>1</v>
      </c>
      <c r="M18" s="42">
        <f t="shared" si="0"/>
        <v>1530650443166784</v>
      </c>
      <c r="O18">
        <v>2017</v>
      </c>
      <c r="P18" s="38">
        <v>1</v>
      </c>
      <c r="Q18" s="41">
        <f>+Q10</f>
        <v>264648969</v>
      </c>
      <c r="R18" s="42">
        <f>+P18*Q18</f>
        <v>264648969</v>
      </c>
      <c r="S18" s="42">
        <f t="shared" ref="S18:T21" si="1">P18^2</f>
        <v>1</v>
      </c>
      <c r="T18" s="42">
        <f t="shared" si="1"/>
        <v>7.003907679276296E+16</v>
      </c>
      <c r="V18">
        <v>2017</v>
      </c>
      <c r="W18" s="38">
        <v>1</v>
      </c>
      <c r="X18" s="41">
        <f>+X10</f>
        <v>14015294</v>
      </c>
      <c r="Y18" s="42">
        <f>+W18*X18</f>
        <v>14015294</v>
      </c>
      <c r="Z18" s="42">
        <f t="shared" ref="Z18:AA21" si="2">W18^2</f>
        <v>1</v>
      </c>
      <c r="AA18" s="42">
        <f t="shared" si="2"/>
        <v>196428465906436</v>
      </c>
      <c r="AC18">
        <v>2017</v>
      </c>
      <c r="AD18" s="38">
        <v>1</v>
      </c>
      <c r="AE18" s="41">
        <f>+AE10</f>
        <v>69419853</v>
      </c>
      <c r="AF18" s="42">
        <f>+AD18*AE18</f>
        <v>69419853</v>
      </c>
      <c r="AG18" s="42">
        <f t="shared" ref="AG18:AH21" si="3">AD18^2</f>
        <v>1</v>
      </c>
      <c r="AH18" s="42">
        <f t="shared" si="3"/>
        <v>4819115990541609</v>
      </c>
      <c r="AJ18">
        <v>2017</v>
      </c>
      <c r="AK18" s="38">
        <v>1</v>
      </c>
      <c r="AL18" s="41">
        <f>+AL10</f>
        <v>0</v>
      </c>
      <c r="AM18" s="42">
        <f>+AK18*AL18</f>
        <v>0</v>
      </c>
      <c r="AN18" s="42">
        <f t="shared" ref="AN18:AO21" si="4">AK18^2</f>
        <v>1</v>
      </c>
      <c r="AO18" s="42">
        <f t="shared" si="4"/>
        <v>0</v>
      </c>
      <c r="AQ18">
        <v>2017</v>
      </c>
      <c r="AR18" s="38">
        <v>1</v>
      </c>
      <c r="AS18" s="41">
        <f>+AS10</f>
        <v>146347389</v>
      </c>
      <c r="AT18" s="42">
        <f>+AR18*AS18</f>
        <v>146347389</v>
      </c>
      <c r="AU18" s="42">
        <f t="shared" ref="AU18:AV21" si="5">AR18^2</f>
        <v>1</v>
      </c>
      <c r="AV18" s="42">
        <f t="shared" si="5"/>
        <v>2.141755826711732E+16</v>
      </c>
      <c r="AX18">
        <v>2017</v>
      </c>
      <c r="AY18" s="38">
        <v>1</v>
      </c>
      <c r="AZ18" s="41">
        <f>+AZ10</f>
        <v>77515099</v>
      </c>
      <c r="BA18" s="42">
        <f>+AY18*AZ18</f>
        <v>77515099</v>
      </c>
      <c r="BB18" s="42">
        <f t="shared" ref="BB18:BC21" si="6">AY18^2</f>
        <v>1</v>
      </c>
      <c r="BC18" s="42">
        <f t="shared" si="6"/>
        <v>6008590572979801</v>
      </c>
      <c r="BE18">
        <v>2017</v>
      </c>
      <c r="BF18" s="38">
        <v>1</v>
      </c>
      <c r="BG18" s="41">
        <f>+BG10</f>
        <v>49916491</v>
      </c>
      <c r="BH18" s="42">
        <f>+BF18*BG18</f>
        <v>49916491</v>
      </c>
      <c r="BI18" s="42">
        <f t="shared" ref="BI18:BJ21" si="7">BF18^2</f>
        <v>1</v>
      </c>
      <c r="BJ18" s="42">
        <f t="shared" si="7"/>
        <v>2491656073753081</v>
      </c>
      <c r="BL18">
        <v>2017</v>
      </c>
      <c r="BM18" s="38">
        <v>1</v>
      </c>
      <c r="BN18" s="41">
        <f>+BN10</f>
        <v>67795057</v>
      </c>
      <c r="BO18" s="42">
        <f>+BM18*BN18</f>
        <v>67795057</v>
      </c>
      <c r="BP18" s="42">
        <f t="shared" ref="BP18:BQ21" si="8">BM18^2</f>
        <v>1</v>
      </c>
      <c r="BQ18" s="42">
        <f t="shared" si="8"/>
        <v>4596169753633249</v>
      </c>
      <c r="BS18">
        <v>2017</v>
      </c>
      <c r="BT18" s="38">
        <v>1</v>
      </c>
      <c r="BU18" s="41">
        <f>+BU10</f>
        <v>48700000</v>
      </c>
      <c r="BV18" s="42">
        <f>+BT18*BU18</f>
        <v>48700000</v>
      </c>
      <c r="BW18" s="42">
        <f t="shared" ref="BW18:BX21" si="9">BT18^2</f>
        <v>1</v>
      </c>
      <c r="BX18" s="42">
        <f t="shared" si="9"/>
        <v>2371690000000000</v>
      </c>
      <c r="BZ18">
        <v>2017</v>
      </c>
      <c r="CA18" s="38">
        <v>1</v>
      </c>
      <c r="CB18" s="41">
        <f>+CB10</f>
        <v>340000000</v>
      </c>
      <c r="CC18" s="42">
        <f>+CA18*CB18</f>
        <v>340000000</v>
      </c>
      <c r="CD18" s="42">
        <f t="shared" ref="CD18:CE21" si="10">CA18^2</f>
        <v>1</v>
      </c>
      <c r="CE18" s="42">
        <f t="shared" si="10"/>
        <v>1.156E+17</v>
      </c>
      <c r="CG18">
        <v>2017</v>
      </c>
      <c r="CH18" s="38">
        <v>1</v>
      </c>
      <c r="CI18" s="41">
        <f>+CI10</f>
        <v>0</v>
      </c>
      <c r="CJ18" s="42">
        <f>+CH18*CI18</f>
        <v>0</v>
      </c>
      <c r="CK18" s="42">
        <f t="shared" ref="CK18:CL21" si="11">CH18^2</f>
        <v>1</v>
      </c>
      <c r="CL18" s="42">
        <f t="shared" si="11"/>
        <v>0</v>
      </c>
      <c r="CN18">
        <v>2017</v>
      </c>
      <c r="CO18" s="38">
        <v>1</v>
      </c>
      <c r="CP18" s="41">
        <f>+CP10</f>
        <v>219647673</v>
      </c>
      <c r="CQ18" s="42">
        <f>+CO18*CP18</f>
        <v>219647673</v>
      </c>
      <c r="CR18" s="42">
        <f t="shared" ref="CR18:CS21" si="12">CO18^2</f>
        <v>1</v>
      </c>
      <c r="CS18" s="42">
        <f t="shared" si="12"/>
        <v>4.8245100254314928E+16</v>
      </c>
      <c r="CU18">
        <v>2017</v>
      </c>
      <c r="CV18" s="38">
        <v>1</v>
      </c>
      <c r="CW18" s="41">
        <f>+CW10</f>
        <v>0</v>
      </c>
      <c r="CX18" s="42">
        <f>+CV18*CW18</f>
        <v>0</v>
      </c>
      <c r="CY18" s="42">
        <f t="shared" ref="CY18:CZ21" si="13">CV18^2</f>
        <v>1</v>
      </c>
      <c r="CZ18" s="42">
        <f t="shared" si="13"/>
        <v>0</v>
      </c>
      <c r="DB18">
        <v>2017</v>
      </c>
      <c r="DC18" s="38">
        <v>1</v>
      </c>
      <c r="DD18" s="41">
        <f>+DD10</f>
        <v>1262392367</v>
      </c>
      <c r="DE18" s="42">
        <f>+DC18*DD18</f>
        <v>1262392367</v>
      </c>
      <c r="DF18" s="42">
        <f t="shared" ref="DF18:DG21" si="14">DC18^2</f>
        <v>1</v>
      </c>
      <c r="DG18" s="42">
        <f t="shared" si="14"/>
        <v>1.5936344882598628E+18</v>
      </c>
      <c r="DI18">
        <v>2017</v>
      </c>
      <c r="DJ18" s="38">
        <v>1</v>
      </c>
      <c r="DK18" s="41">
        <f>+DK10</f>
        <v>0</v>
      </c>
      <c r="DL18" s="42">
        <f>+DJ18*DK18</f>
        <v>0</v>
      </c>
      <c r="DM18" s="42">
        <f t="shared" ref="DM18:DN21" si="15">DJ18^2</f>
        <v>1</v>
      </c>
      <c r="DN18" s="42">
        <f t="shared" si="15"/>
        <v>0</v>
      </c>
      <c r="DP18">
        <v>2017</v>
      </c>
      <c r="DQ18" s="38">
        <v>1</v>
      </c>
      <c r="DR18" s="41">
        <f>+DR10</f>
        <v>8381414</v>
      </c>
      <c r="DS18" s="42">
        <f>+DQ18*DR18</f>
        <v>8381414</v>
      </c>
      <c r="DT18" s="42">
        <f t="shared" ref="DT18:DU21" si="16">DQ18^2</f>
        <v>1</v>
      </c>
      <c r="DU18" s="42">
        <f t="shared" si="16"/>
        <v>70248100639396</v>
      </c>
      <c r="DW18">
        <v>2017</v>
      </c>
      <c r="DX18" s="38">
        <v>1</v>
      </c>
      <c r="DY18" s="41">
        <f>+DY10</f>
        <v>1291765553</v>
      </c>
      <c r="DZ18" s="42">
        <f>+DX18*DY18</f>
        <v>1291765553</v>
      </c>
      <c r="EA18" s="42">
        <f t="shared" ref="EA18:EB21" si="17">DX18^2</f>
        <v>1</v>
      </c>
      <c r="EB18" s="42">
        <f t="shared" si="17"/>
        <v>1.6686582439173957E+18</v>
      </c>
      <c r="ED18">
        <v>2017</v>
      </c>
      <c r="EE18" s="38">
        <v>1</v>
      </c>
      <c r="EF18" s="41">
        <f>+EF10</f>
        <v>0</v>
      </c>
      <c r="EG18" s="42">
        <f>+EE18*EF18</f>
        <v>0</v>
      </c>
      <c r="EH18" s="42">
        <f t="shared" ref="EH18:EI21" si="18">EE18^2</f>
        <v>1</v>
      </c>
      <c r="EI18" s="42">
        <f t="shared" si="18"/>
        <v>0</v>
      </c>
      <c r="EK18">
        <v>2017</v>
      </c>
      <c r="EL18" s="38">
        <v>1</v>
      </c>
      <c r="EM18" s="41">
        <f>+EM10</f>
        <v>0</v>
      </c>
      <c r="EN18" s="42">
        <f>+EL18*EM18</f>
        <v>0</v>
      </c>
      <c r="EO18" s="42">
        <f t="shared" ref="EO18:EP21" si="19">EL18^2</f>
        <v>1</v>
      </c>
      <c r="EP18" s="42">
        <f t="shared" si="19"/>
        <v>0</v>
      </c>
      <c r="ER18">
        <v>2017</v>
      </c>
      <c r="ES18" s="38">
        <v>1</v>
      </c>
      <c r="ET18" s="41">
        <f>+ET10</f>
        <v>29325811</v>
      </c>
      <c r="EU18" s="42">
        <f>+ES18*ET18</f>
        <v>29325811</v>
      </c>
      <c r="EV18" s="42">
        <f t="shared" ref="EV18:EW21" si="20">ES18^2</f>
        <v>1</v>
      </c>
      <c r="EW18" s="42">
        <f t="shared" si="20"/>
        <v>860003190807721</v>
      </c>
      <c r="EY18">
        <v>2017</v>
      </c>
      <c r="EZ18" s="38">
        <v>1</v>
      </c>
      <c r="FA18" s="41">
        <f>+FA10</f>
        <v>2055000</v>
      </c>
      <c r="FB18" s="42">
        <f>+EZ18*FA18</f>
        <v>2055000</v>
      </c>
      <c r="FC18" s="42">
        <f t="shared" ref="FC18:FD21" si="21">EZ18^2</f>
        <v>1</v>
      </c>
      <c r="FD18" s="42">
        <f t="shared" si="21"/>
        <v>4223025000000</v>
      </c>
    </row>
    <row r="19" spans="1:160" x14ac:dyDescent="0.25">
      <c r="A19">
        <v>2018</v>
      </c>
      <c r="B19" s="38">
        <v>2</v>
      </c>
      <c r="C19" s="41">
        <f>+C11</f>
        <v>196563193</v>
      </c>
      <c r="D19" s="42">
        <f>+B19*C19</f>
        <v>393126386</v>
      </c>
      <c r="E19" s="42">
        <f t="shared" ref="E19:F21" si="22">B19^2</f>
        <v>4</v>
      </c>
      <c r="F19" s="42">
        <f t="shared" si="22"/>
        <v>3.8637088842355248E+16</v>
      </c>
      <c r="H19">
        <v>2018</v>
      </c>
      <c r="I19" s="38">
        <v>2</v>
      </c>
      <c r="J19" s="41">
        <f>+J11</f>
        <v>81214177</v>
      </c>
      <c r="K19" s="42">
        <f>+I19*J19</f>
        <v>162428354</v>
      </c>
      <c r="L19" s="42">
        <f t="shared" si="0"/>
        <v>4</v>
      </c>
      <c r="M19" s="42">
        <f t="shared" si="0"/>
        <v>6595742545787329</v>
      </c>
      <c r="O19">
        <v>2018</v>
      </c>
      <c r="P19" s="38">
        <v>2</v>
      </c>
      <c r="Q19" s="41">
        <f>+Q11</f>
        <v>368327627</v>
      </c>
      <c r="R19" s="42">
        <f>+P19*Q19</f>
        <v>736655254</v>
      </c>
      <c r="S19" s="42">
        <f t="shared" si="1"/>
        <v>4</v>
      </c>
      <c r="T19" s="42">
        <f t="shared" si="1"/>
        <v>1.3566524081145114E+17</v>
      </c>
      <c r="V19">
        <v>2018</v>
      </c>
      <c r="W19" s="38">
        <v>2</v>
      </c>
      <c r="X19" s="41">
        <f>+X11</f>
        <v>18698322</v>
      </c>
      <c r="Y19" s="42">
        <f>+W19*X19</f>
        <v>37396644</v>
      </c>
      <c r="Z19" s="42">
        <f t="shared" si="2"/>
        <v>4</v>
      </c>
      <c r="AA19" s="42">
        <f t="shared" si="2"/>
        <v>349627245615684</v>
      </c>
      <c r="AC19">
        <v>2018</v>
      </c>
      <c r="AD19" s="38">
        <v>2</v>
      </c>
      <c r="AE19" s="41">
        <f>+AE11</f>
        <v>53523328</v>
      </c>
      <c r="AF19" s="42">
        <f>+AD19*AE19</f>
        <v>107046656</v>
      </c>
      <c r="AG19" s="42">
        <f t="shared" si="3"/>
        <v>4</v>
      </c>
      <c r="AH19" s="42">
        <f t="shared" si="3"/>
        <v>2864746640195584</v>
      </c>
      <c r="AJ19">
        <v>2018</v>
      </c>
      <c r="AK19" s="38">
        <v>2</v>
      </c>
      <c r="AL19" s="41">
        <f>+AL11</f>
        <v>0</v>
      </c>
      <c r="AM19" s="42">
        <f>+AK19*AL19</f>
        <v>0</v>
      </c>
      <c r="AN19" s="42">
        <f t="shared" si="4"/>
        <v>4</v>
      </c>
      <c r="AO19" s="42">
        <f t="shared" si="4"/>
        <v>0</v>
      </c>
      <c r="AQ19">
        <v>2018</v>
      </c>
      <c r="AR19" s="38">
        <v>2</v>
      </c>
      <c r="AS19" s="41">
        <f>+AS11</f>
        <v>322074837</v>
      </c>
      <c r="AT19" s="42">
        <f>+AR19*AS19</f>
        <v>644149674</v>
      </c>
      <c r="AU19" s="42">
        <f t="shared" si="5"/>
        <v>4</v>
      </c>
      <c r="AV19" s="42">
        <f t="shared" si="5"/>
        <v>1.0373220062857658E+17</v>
      </c>
      <c r="AX19">
        <v>2018</v>
      </c>
      <c r="AY19" s="38">
        <v>2</v>
      </c>
      <c r="AZ19" s="41">
        <f>+AZ11</f>
        <v>83230267</v>
      </c>
      <c r="BA19" s="42">
        <f>+AY19*AZ19</f>
        <v>166460534</v>
      </c>
      <c r="BB19" s="42">
        <f t="shared" si="6"/>
        <v>4</v>
      </c>
      <c r="BC19" s="42">
        <f t="shared" si="6"/>
        <v>6927277344891289</v>
      </c>
      <c r="BE19">
        <v>2018</v>
      </c>
      <c r="BF19" s="38">
        <v>2</v>
      </c>
      <c r="BG19" s="41">
        <f>+BG11</f>
        <v>55812268</v>
      </c>
      <c r="BH19" s="42">
        <f>+BF19*BG19</f>
        <v>111624536</v>
      </c>
      <c r="BI19" s="42">
        <f t="shared" si="7"/>
        <v>4</v>
      </c>
      <c r="BJ19" s="42">
        <f t="shared" si="7"/>
        <v>3115009259303824</v>
      </c>
      <c r="BL19">
        <v>2018</v>
      </c>
      <c r="BM19" s="38">
        <v>2</v>
      </c>
      <c r="BN19" s="41">
        <f>+BN11</f>
        <v>116701328</v>
      </c>
      <c r="BO19" s="42">
        <f>+BM19*BN19</f>
        <v>233402656</v>
      </c>
      <c r="BP19" s="42">
        <f t="shared" si="8"/>
        <v>4</v>
      </c>
      <c r="BQ19" s="42">
        <f t="shared" si="8"/>
        <v>1.3619199956963584E+16</v>
      </c>
      <c r="BS19">
        <v>2018</v>
      </c>
      <c r="BT19" s="38">
        <v>2</v>
      </c>
      <c r="BU19" s="41">
        <f>+BU11</f>
        <v>48329718</v>
      </c>
      <c r="BV19" s="42">
        <f>+BT19*BU19</f>
        <v>96659436</v>
      </c>
      <c r="BW19" s="42">
        <f t="shared" si="9"/>
        <v>4</v>
      </c>
      <c r="BX19" s="42">
        <f t="shared" si="9"/>
        <v>2335761641959524</v>
      </c>
      <c r="BZ19">
        <v>2018</v>
      </c>
      <c r="CA19" s="38">
        <v>2</v>
      </c>
      <c r="CB19" s="41">
        <f>+CB11</f>
        <v>340000000</v>
      </c>
      <c r="CC19" s="42">
        <f>+CA19*CB19</f>
        <v>680000000</v>
      </c>
      <c r="CD19" s="42">
        <f t="shared" si="10"/>
        <v>4</v>
      </c>
      <c r="CE19" s="42">
        <f t="shared" si="10"/>
        <v>1.156E+17</v>
      </c>
      <c r="CG19">
        <v>2018</v>
      </c>
      <c r="CH19" s="38">
        <v>2</v>
      </c>
      <c r="CI19" s="41">
        <f>+CI11</f>
        <v>0</v>
      </c>
      <c r="CJ19" s="42">
        <f>+CH19*CI19</f>
        <v>0</v>
      </c>
      <c r="CK19" s="42">
        <f t="shared" si="11"/>
        <v>4</v>
      </c>
      <c r="CL19" s="42">
        <f t="shared" si="11"/>
        <v>0</v>
      </c>
      <c r="CN19">
        <v>2018</v>
      </c>
      <c r="CO19" s="38">
        <v>2</v>
      </c>
      <c r="CP19" s="41">
        <f>+CP11</f>
        <v>247821771</v>
      </c>
      <c r="CQ19" s="42">
        <f>+CO19*CP19</f>
        <v>495643542</v>
      </c>
      <c r="CR19" s="42">
        <f t="shared" si="12"/>
        <v>4</v>
      </c>
      <c r="CS19" s="42">
        <f t="shared" si="12"/>
        <v>6.141563018157644E+16</v>
      </c>
      <c r="CU19">
        <v>2018</v>
      </c>
      <c r="CV19" s="38">
        <v>2</v>
      </c>
      <c r="CW19" s="41">
        <f>+CW11</f>
        <v>0</v>
      </c>
      <c r="CX19" s="42">
        <f>+CV19*CW19</f>
        <v>0</v>
      </c>
      <c r="CY19" s="42">
        <f t="shared" si="13"/>
        <v>4</v>
      </c>
      <c r="CZ19" s="42">
        <f t="shared" si="13"/>
        <v>0</v>
      </c>
      <c r="DB19">
        <v>2018</v>
      </c>
      <c r="DC19" s="38">
        <v>2</v>
      </c>
      <c r="DD19" s="41">
        <f>+DD11</f>
        <v>1860941447</v>
      </c>
      <c r="DE19" s="42">
        <f>+DC19*DD19</f>
        <v>3721882894</v>
      </c>
      <c r="DF19" s="42">
        <f t="shared" si="14"/>
        <v>4</v>
      </c>
      <c r="DG19" s="42">
        <f t="shared" si="14"/>
        <v>3.463103069162454E+18</v>
      </c>
      <c r="DI19">
        <v>2018</v>
      </c>
      <c r="DJ19" s="38">
        <v>2</v>
      </c>
      <c r="DK19" s="41">
        <f>+DK11</f>
        <v>0</v>
      </c>
      <c r="DL19" s="42">
        <f>+DJ19*DK19</f>
        <v>0</v>
      </c>
      <c r="DM19" s="42">
        <f t="shared" si="15"/>
        <v>4</v>
      </c>
      <c r="DN19" s="42">
        <f t="shared" si="15"/>
        <v>0</v>
      </c>
      <c r="DP19">
        <v>2018</v>
      </c>
      <c r="DQ19" s="38">
        <v>2</v>
      </c>
      <c r="DR19" s="41">
        <f>+DR11</f>
        <v>8895908</v>
      </c>
      <c r="DS19" s="42">
        <f>+DQ19*DR19</f>
        <v>17791816</v>
      </c>
      <c r="DT19" s="42">
        <f t="shared" si="16"/>
        <v>4</v>
      </c>
      <c r="DU19" s="42">
        <f t="shared" si="16"/>
        <v>79137179144464</v>
      </c>
      <c r="DW19">
        <v>2018</v>
      </c>
      <c r="DX19" s="38">
        <v>2</v>
      </c>
      <c r="DY19" s="41">
        <f>+DY11</f>
        <v>1878936621</v>
      </c>
      <c r="DZ19" s="42">
        <f>+DX19*DY19</f>
        <v>3757873242</v>
      </c>
      <c r="EA19" s="42">
        <f t="shared" si="17"/>
        <v>4</v>
      </c>
      <c r="EB19" s="42">
        <f t="shared" si="17"/>
        <v>3.5304028257348977E+18</v>
      </c>
      <c r="ED19">
        <v>2018</v>
      </c>
      <c r="EE19" s="38">
        <v>2</v>
      </c>
      <c r="EF19" s="41">
        <f>+EF11</f>
        <v>0</v>
      </c>
      <c r="EG19" s="42">
        <f>+EE19*EF19</f>
        <v>0</v>
      </c>
      <c r="EH19" s="42">
        <f t="shared" si="18"/>
        <v>4</v>
      </c>
      <c r="EI19" s="42">
        <f t="shared" si="18"/>
        <v>0</v>
      </c>
      <c r="EK19">
        <v>2018</v>
      </c>
      <c r="EL19" s="38">
        <v>2</v>
      </c>
      <c r="EM19" s="41">
        <f>+EM11</f>
        <v>0</v>
      </c>
      <c r="EN19" s="42">
        <f>+EL19*EM19</f>
        <v>0</v>
      </c>
      <c r="EO19" s="42">
        <f t="shared" si="19"/>
        <v>4</v>
      </c>
      <c r="EP19" s="42">
        <f t="shared" si="19"/>
        <v>0</v>
      </c>
      <c r="ER19">
        <v>2018</v>
      </c>
      <c r="ES19" s="38">
        <v>2</v>
      </c>
      <c r="ET19" s="41">
        <f>+ET11</f>
        <v>19271845</v>
      </c>
      <c r="EU19" s="42">
        <f>+ES19*ET19</f>
        <v>38543690</v>
      </c>
      <c r="EV19" s="42">
        <f t="shared" si="20"/>
        <v>4</v>
      </c>
      <c r="EW19" s="42">
        <f t="shared" si="20"/>
        <v>371404009704025</v>
      </c>
      <c r="EY19">
        <v>2018</v>
      </c>
      <c r="EZ19" s="38">
        <v>2</v>
      </c>
      <c r="FA19" s="41">
        <f>+FA11</f>
        <v>1390000</v>
      </c>
      <c r="FB19" s="42">
        <f>+EZ19*FA19</f>
        <v>2780000</v>
      </c>
      <c r="FC19" s="42">
        <f t="shared" si="21"/>
        <v>4</v>
      </c>
      <c r="FD19" s="42">
        <f t="shared" si="21"/>
        <v>1932100000000</v>
      </c>
    </row>
    <row r="20" spans="1:160" x14ac:dyDescent="0.25">
      <c r="A20">
        <v>2019</v>
      </c>
      <c r="B20" s="38">
        <v>3</v>
      </c>
      <c r="C20" s="41">
        <f>+C12</f>
        <v>49372907</v>
      </c>
      <c r="D20" s="42">
        <f>+B20*C20</f>
        <v>148118721</v>
      </c>
      <c r="E20" s="42">
        <f t="shared" si="22"/>
        <v>9</v>
      </c>
      <c r="F20" s="42">
        <f t="shared" si="22"/>
        <v>2437683945630649</v>
      </c>
      <c r="H20">
        <v>2019</v>
      </c>
      <c r="I20" s="38">
        <v>3</v>
      </c>
      <c r="J20" s="41">
        <f>+J12</f>
        <v>72801761</v>
      </c>
      <c r="K20" s="42">
        <f>+I20*J20</f>
        <v>218405283</v>
      </c>
      <c r="L20" s="42">
        <f t="shared" si="0"/>
        <v>9</v>
      </c>
      <c r="M20" s="42">
        <f t="shared" si="0"/>
        <v>5300096404701121</v>
      </c>
      <c r="O20">
        <v>2019</v>
      </c>
      <c r="P20" s="38">
        <v>3</v>
      </c>
      <c r="Q20" s="41">
        <f>+Q12</f>
        <v>312764949</v>
      </c>
      <c r="R20" s="42">
        <f>+P20*Q20</f>
        <v>938294847</v>
      </c>
      <c r="S20" s="42">
        <f t="shared" si="1"/>
        <v>9</v>
      </c>
      <c r="T20" s="42">
        <f t="shared" si="1"/>
        <v>9.7821913322972608E+16</v>
      </c>
      <c r="V20">
        <v>2019</v>
      </c>
      <c r="W20" s="38">
        <v>3</v>
      </c>
      <c r="X20" s="41">
        <f>+X12</f>
        <v>239753949</v>
      </c>
      <c r="Y20" s="42">
        <f>+W20*X20</f>
        <v>719261847</v>
      </c>
      <c r="Z20" s="42">
        <f t="shared" si="2"/>
        <v>9</v>
      </c>
      <c r="AA20" s="42">
        <f t="shared" si="2"/>
        <v>5.74819560610946E+16</v>
      </c>
      <c r="AC20">
        <v>2019</v>
      </c>
      <c r="AD20" s="38">
        <v>3</v>
      </c>
      <c r="AE20" s="41">
        <f>+AE12</f>
        <v>63501714</v>
      </c>
      <c r="AF20" s="42">
        <f>+AD20*AE20</f>
        <v>190505142</v>
      </c>
      <c r="AG20" s="42">
        <f t="shared" si="3"/>
        <v>9</v>
      </c>
      <c r="AH20" s="42">
        <f t="shared" si="3"/>
        <v>4032467680937796</v>
      </c>
      <c r="AJ20">
        <v>2019</v>
      </c>
      <c r="AK20" s="38">
        <v>3</v>
      </c>
      <c r="AL20" s="41">
        <f>+AL12</f>
        <v>82762293</v>
      </c>
      <c r="AM20" s="42">
        <f>+AK20*AL20</f>
        <v>248286879</v>
      </c>
      <c r="AN20" s="42">
        <f t="shared" si="4"/>
        <v>9</v>
      </c>
      <c r="AO20" s="42">
        <f t="shared" si="4"/>
        <v>6849597142617849</v>
      </c>
      <c r="AQ20">
        <v>2019</v>
      </c>
      <c r="AR20" s="38">
        <v>3</v>
      </c>
      <c r="AS20" s="41">
        <f>+AS12</f>
        <v>248104135</v>
      </c>
      <c r="AT20" s="42">
        <f>+AR20*AS20</f>
        <v>744312405</v>
      </c>
      <c r="AU20" s="42">
        <f t="shared" si="5"/>
        <v>9</v>
      </c>
      <c r="AV20" s="42">
        <f t="shared" si="5"/>
        <v>6.1555661804098224E+16</v>
      </c>
      <c r="AX20">
        <v>2019</v>
      </c>
      <c r="AY20" s="38">
        <v>3</v>
      </c>
      <c r="AZ20" s="41">
        <f>+AZ12</f>
        <v>135197778</v>
      </c>
      <c r="BA20" s="42">
        <f>+AY20*AZ20</f>
        <v>405593334</v>
      </c>
      <c r="BB20" s="42">
        <f t="shared" si="6"/>
        <v>9</v>
      </c>
      <c r="BC20" s="42">
        <f t="shared" si="6"/>
        <v>1.8278439176137284E+16</v>
      </c>
      <c r="BE20">
        <v>2019</v>
      </c>
      <c r="BF20" s="38">
        <v>3</v>
      </c>
      <c r="BG20" s="41">
        <f>+BG12</f>
        <v>0</v>
      </c>
      <c r="BH20" s="42">
        <f>+BF20*BG20</f>
        <v>0</v>
      </c>
      <c r="BI20" s="42">
        <f t="shared" si="7"/>
        <v>9</v>
      </c>
      <c r="BJ20" s="42">
        <f t="shared" si="7"/>
        <v>0</v>
      </c>
      <c r="BL20">
        <v>2019</v>
      </c>
      <c r="BM20" s="38">
        <v>3</v>
      </c>
      <c r="BN20" s="41">
        <f>+BN12</f>
        <v>41535493</v>
      </c>
      <c r="BO20" s="42">
        <f>+BM20*BN20</f>
        <v>124606479</v>
      </c>
      <c r="BP20" s="42">
        <f t="shared" si="8"/>
        <v>9</v>
      </c>
      <c r="BQ20" s="42">
        <f t="shared" si="8"/>
        <v>1725197178753049</v>
      </c>
      <c r="BS20">
        <v>2019</v>
      </c>
      <c r="BT20" s="38">
        <v>3</v>
      </c>
      <c r="BU20" s="41">
        <f>+BU12</f>
        <v>36336498</v>
      </c>
      <c r="BV20" s="42">
        <f>+BT20*BU20</f>
        <v>109009494</v>
      </c>
      <c r="BW20" s="42">
        <f t="shared" si="9"/>
        <v>9</v>
      </c>
      <c r="BX20" s="42">
        <f t="shared" si="9"/>
        <v>1320341086904004</v>
      </c>
      <c r="BZ20">
        <v>2019</v>
      </c>
      <c r="CA20" s="38">
        <v>3</v>
      </c>
      <c r="CB20" s="41">
        <f>+CB12</f>
        <v>340000000</v>
      </c>
      <c r="CC20" s="42">
        <f>+CA20*CB20</f>
        <v>1020000000</v>
      </c>
      <c r="CD20" s="42">
        <f t="shared" si="10"/>
        <v>9</v>
      </c>
      <c r="CE20" s="42">
        <f t="shared" si="10"/>
        <v>1.156E+17</v>
      </c>
      <c r="CG20">
        <v>2019</v>
      </c>
      <c r="CH20" s="38">
        <v>3</v>
      </c>
      <c r="CI20" s="41">
        <f>+CI12</f>
        <v>0</v>
      </c>
      <c r="CJ20" s="42">
        <f>+CH20*CI20</f>
        <v>0</v>
      </c>
      <c r="CK20" s="42">
        <f t="shared" si="11"/>
        <v>9</v>
      </c>
      <c r="CL20" s="42">
        <f t="shared" si="11"/>
        <v>0</v>
      </c>
      <c r="CN20">
        <v>2019</v>
      </c>
      <c r="CO20" s="38">
        <v>3</v>
      </c>
      <c r="CP20" s="41">
        <f>+CP12</f>
        <v>248771771</v>
      </c>
      <c r="CQ20" s="42">
        <f>+CO20*CP20</f>
        <v>746315313</v>
      </c>
      <c r="CR20" s="42">
        <f t="shared" si="12"/>
        <v>9</v>
      </c>
      <c r="CS20" s="42">
        <f t="shared" si="12"/>
        <v>6.188739404647644E+16</v>
      </c>
      <c r="CU20">
        <v>2019</v>
      </c>
      <c r="CV20" s="38">
        <v>3</v>
      </c>
      <c r="CW20" s="41">
        <f>+CW12</f>
        <v>103030854</v>
      </c>
      <c r="CX20" s="42">
        <f>+CV20*CW20</f>
        <v>309092562</v>
      </c>
      <c r="CY20" s="42">
        <f t="shared" si="13"/>
        <v>9</v>
      </c>
      <c r="CZ20" s="42">
        <f t="shared" si="13"/>
        <v>1.0615356875969316E+16</v>
      </c>
      <c r="DB20">
        <v>2019</v>
      </c>
      <c r="DC20" s="38">
        <v>3</v>
      </c>
      <c r="DD20" s="41">
        <f>+DD12</f>
        <v>2869401050</v>
      </c>
      <c r="DE20" s="42">
        <f>+DC20*DD20</f>
        <v>8608203150</v>
      </c>
      <c r="DF20" s="42">
        <f t="shared" si="14"/>
        <v>9</v>
      </c>
      <c r="DG20" s="42">
        <f t="shared" si="14"/>
        <v>8.2334623857411021E+18</v>
      </c>
      <c r="DI20">
        <v>2019</v>
      </c>
      <c r="DJ20" s="38">
        <v>3</v>
      </c>
      <c r="DK20" s="41">
        <f>+DK12</f>
        <v>1504556463</v>
      </c>
      <c r="DL20" s="42">
        <f>+DJ20*DK20</f>
        <v>4513669389</v>
      </c>
      <c r="DM20" s="42">
        <f t="shared" si="15"/>
        <v>9</v>
      </c>
      <c r="DN20" s="42">
        <f t="shared" si="15"/>
        <v>2.2636901503550705E+18</v>
      </c>
      <c r="DP20">
        <v>2019</v>
      </c>
      <c r="DQ20" s="38">
        <v>3</v>
      </c>
      <c r="DR20" s="41">
        <f>+DR12</f>
        <v>597205</v>
      </c>
      <c r="DS20" s="42">
        <f>+DQ20*DR20</f>
        <v>1791615</v>
      </c>
      <c r="DT20" s="42">
        <f t="shared" si="16"/>
        <v>9</v>
      </c>
      <c r="DU20" s="42">
        <f t="shared" si="16"/>
        <v>356653812025</v>
      </c>
      <c r="DW20">
        <v>2019</v>
      </c>
      <c r="DX20" s="38">
        <v>3</v>
      </c>
      <c r="DY20" s="41">
        <f>+DY12</f>
        <v>1180030203</v>
      </c>
      <c r="DZ20" s="42">
        <f>+DX20*DY20</f>
        <v>3540090609</v>
      </c>
      <c r="EA20" s="42">
        <f t="shared" si="17"/>
        <v>9</v>
      </c>
      <c r="EB20" s="42">
        <f t="shared" si="17"/>
        <v>1.3924712799922212E+18</v>
      </c>
      <c r="ED20">
        <v>2019</v>
      </c>
      <c r="EE20" s="38">
        <v>3</v>
      </c>
      <c r="EF20" s="41">
        <f>+EF12</f>
        <v>0</v>
      </c>
      <c r="EG20" s="42">
        <f>+EE20*EF20</f>
        <v>0</v>
      </c>
      <c r="EH20" s="42">
        <f t="shared" si="18"/>
        <v>9</v>
      </c>
      <c r="EI20" s="42">
        <f t="shared" si="18"/>
        <v>0</v>
      </c>
      <c r="EK20">
        <v>2019</v>
      </c>
      <c r="EL20" s="38">
        <v>3</v>
      </c>
      <c r="EM20" s="41">
        <f>+EM12</f>
        <v>152220</v>
      </c>
      <c r="EN20" s="42">
        <f>+EL20*EM20</f>
        <v>456660</v>
      </c>
      <c r="EO20" s="42">
        <f t="shared" si="19"/>
        <v>9</v>
      </c>
      <c r="EP20" s="42">
        <f t="shared" si="19"/>
        <v>23170928400</v>
      </c>
      <c r="ER20">
        <v>2019</v>
      </c>
      <c r="ES20" s="38">
        <v>3</v>
      </c>
      <c r="ET20" s="41">
        <f>+ET12</f>
        <v>22743955</v>
      </c>
      <c r="EU20" s="42">
        <f>+ES20*ET20</f>
        <v>68231865</v>
      </c>
      <c r="EV20" s="42">
        <f t="shared" si="20"/>
        <v>9</v>
      </c>
      <c r="EW20" s="42">
        <f t="shared" si="20"/>
        <v>517287489042025</v>
      </c>
      <c r="EY20">
        <v>2019</v>
      </c>
      <c r="EZ20" s="38">
        <v>3</v>
      </c>
      <c r="FA20" s="41">
        <f>+FA12</f>
        <v>59789000</v>
      </c>
      <c r="FB20" s="42">
        <f>+EZ20*FA20</f>
        <v>179367000</v>
      </c>
      <c r="FC20" s="42">
        <f t="shared" si="21"/>
        <v>9</v>
      </c>
      <c r="FD20" s="42">
        <f t="shared" si="21"/>
        <v>3574724521000000</v>
      </c>
    </row>
    <row r="21" spans="1:160" x14ac:dyDescent="0.25">
      <c r="A21">
        <v>2020</v>
      </c>
      <c r="B21" s="38">
        <v>4</v>
      </c>
      <c r="C21" s="41">
        <f>+C13</f>
        <v>100663317</v>
      </c>
      <c r="D21" s="42">
        <f>+B21*C21</f>
        <v>402653268</v>
      </c>
      <c r="E21" s="42">
        <f t="shared" si="22"/>
        <v>16</v>
      </c>
      <c r="F21" s="42">
        <f t="shared" si="22"/>
        <v>1.0133103389442488E+16</v>
      </c>
      <c r="H21">
        <v>2020</v>
      </c>
      <c r="I21" s="38">
        <v>4</v>
      </c>
      <c r="J21" s="41">
        <f>+J13</f>
        <v>209155086</v>
      </c>
      <c r="K21" s="42">
        <f>+I21*J21</f>
        <v>836620344</v>
      </c>
      <c r="L21" s="42">
        <f t="shared" si="0"/>
        <v>16</v>
      </c>
      <c r="M21" s="42">
        <f t="shared" si="0"/>
        <v>4.3745849999667392E+16</v>
      </c>
      <c r="O21">
        <v>2020</v>
      </c>
      <c r="P21" s="38">
        <v>4</v>
      </c>
      <c r="Q21" s="41">
        <f>+Q13</f>
        <v>312353000</v>
      </c>
      <c r="R21" s="42">
        <f>+P21*Q21</f>
        <v>1249412000</v>
      </c>
      <c r="S21" s="42">
        <f t="shared" si="1"/>
        <v>16</v>
      </c>
      <c r="T21" s="42">
        <f t="shared" si="1"/>
        <v>9.7564396609E+16</v>
      </c>
      <c r="V21">
        <v>2020</v>
      </c>
      <c r="W21" s="38">
        <v>4</v>
      </c>
      <c r="X21" s="41">
        <f>+X13</f>
        <v>189833537</v>
      </c>
      <c r="Y21" s="42">
        <f>+W21*X21</f>
        <v>759334148</v>
      </c>
      <c r="Z21" s="42">
        <f t="shared" si="2"/>
        <v>16</v>
      </c>
      <c r="AA21" s="42">
        <f t="shared" si="2"/>
        <v>3.6036771769930368E+16</v>
      </c>
      <c r="AC21">
        <v>2020</v>
      </c>
      <c r="AD21" s="38">
        <v>4</v>
      </c>
      <c r="AE21" s="41">
        <f>+AE13</f>
        <v>171261779</v>
      </c>
      <c r="AF21" s="42">
        <f>+AD21*AE21</f>
        <v>685047116</v>
      </c>
      <c r="AG21" s="42">
        <f t="shared" si="3"/>
        <v>16</v>
      </c>
      <c r="AH21" s="42">
        <f t="shared" si="3"/>
        <v>2.933059694624484E+16</v>
      </c>
      <c r="AJ21">
        <v>2020</v>
      </c>
      <c r="AK21" s="38">
        <v>4</v>
      </c>
      <c r="AL21" s="41">
        <f>+AL13</f>
        <v>163796625</v>
      </c>
      <c r="AM21" s="42">
        <f>+AK21*AL21</f>
        <v>655186500</v>
      </c>
      <c r="AN21" s="42">
        <f t="shared" si="4"/>
        <v>16</v>
      </c>
      <c r="AO21" s="42">
        <f t="shared" si="4"/>
        <v>2.6829334361390624E+16</v>
      </c>
      <c r="AQ21">
        <v>2020</v>
      </c>
      <c r="AR21" s="38">
        <v>4</v>
      </c>
      <c r="AS21" s="41">
        <f>+AS13</f>
        <v>135224000</v>
      </c>
      <c r="AT21" s="42">
        <f>+AR21*AS21</f>
        <v>540896000</v>
      </c>
      <c r="AU21" s="42">
        <f t="shared" si="5"/>
        <v>16</v>
      </c>
      <c r="AV21" s="42">
        <f t="shared" si="5"/>
        <v>1.8285530176E+16</v>
      </c>
      <c r="AX21">
        <v>2020</v>
      </c>
      <c r="AY21" s="38">
        <v>4</v>
      </c>
      <c r="AZ21" s="41">
        <f>+AZ13</f>
        <v>135153397</v>
      </c>
      <c r="BA21" s="42">
        <f>+AY21*AZ21</f>
        <v>540613588</v>
      </c>
      <c r="BB21" s="42">
        <f t="shared" si="6"/>
        <v>16</v>
      </c>
      <c r="BC21" s="42">
        <f t="shared" si="6"/>
        <v>1.8266440720639608E+16</v>
      </c>
      <c r="BE21">
        <v>2020</v>
      </c>
      <c r="BF21" s="38">
        <v>4</v>
      </c>
      <c r="BG21" s="41">
        <f>+BG13</f>
        <v>0</v>
      </c>
      <c r="BH21" s="42">
        <f>+BF21*BG21</f>
        <v>0</v>
      </c>
      <c r="BI21" s="42">
        <f t="shared" si="7"/>
        <v>16</v>
      </c>
      <c r="BJ21" s="42">
        <f t="shared" si="7"/>
        <v>0</v>
      </c>
      <c r="BL21">
        <v>2020</v>
      </c>
      <c r="BM21" s="38">
        <v>4</v>
      </c>
      <c r="BN21" s="41">
        <f>+BN13</f>
        <v>84072716</v>
      </c>
      <c r="BO21" s="42">
        <f>+BM21*BN21</f>
        <v>336290864</v>
      </c>
      <c r="BP21" s="42">
        <f t="shared" si="8"/>
        <v>16</v>
      </c>
      <c r="BQ21" s="42">
        <f t="shared" si="8"/>
        <v>7068221575616656</v>
      </c>
      <c r="BS21">
        <v>2020</v>
      </c>
      <c r="BT21" s="38">
        <v>4</v>
      </c>
      <c r="BU21" s="41">
        <f>+BU13</f>
        <v>36336498</v>
      </c>
      <c r="BV21" s="42">
        <f>+BT21*BU21</f>
        <v>145345992</v>
      </c>
      <c r="BW21" s="42">
        <f t="shared" si="9"/>
        <v>16</v>
      </c>
      <c r="BX21" s="42">
        <f t="shared" si="9"/>
        <v>1320341086904004</v>
      </c>
      <c r="BZ21">
        <v>2020</v>
      </c>
      <c r="CA21" s="38">
        <v>4</v>
      </c>
      <c r="CB21" s="41">
        <f>+CB13</f>
        <v>340000000</v>
      </c>
      <c r="CC21" s="42">
        <f>+CA21*CB21</f>
        <v>1360000000</v>
      </c>
      <c r="CD21" s="42">
        <f t="shared" si="10"/>
        <v>16</v>
      </c>
      <c r="CE21" s="42">
        <f t="shared" si="10"/>
        <v>1.156E+17</v>
      </c>
      <c r="CG21">
        <v>2020</v>
      </c>
      <c r="CH21" s="38">
        <v>4</v>
      </c>
      <c r="CI21" s="41">
        <f>+CI13</f>
        <v>10303086</v>
      </c>
      <c r="CJ21" s="42">
        <f>+CH21*CI21</f>
        <v>41212344</v>
      </c>
      <c r="CK21" s="42">
        <f t="shared" si="11"/>
        <v>16</v>
      </c>
      <c r="CL21" s="42">
        <f t="shared" si="11"/>
        <v>106153581123396</v>
      </c>
      <c r="CN21">
        <v>2020</v>
      </c>
      <c r="CO21" s="38">
        <v>4</v>
      </c>
      <c r="CP21" s="41">
        <f>+CP13</f>
        <v>156044000</v>
      </c>
      <c r="CQ21" s="42">
        <f>+CO21*CP21</f>
        <v>624176000</v>
      </c>
      <c r="CR21" s="42">
        <f t="shared" si="12"/>
        <v>16</v>
      </c>
      <c r="CS21" s="42">
        <f t="shared" si="12"/>
        <v>2.4349729936E+16</v>
      </c>
      <c r="CU21">
        <v>2020</v>
      </c>
      <c r="CV21" s="38">
        <v>4</v>
      </c>
      <c r="CW21" s="41">
        <f>+CW13</f>
        <v>234424397</v>
      </c>
      <c r="CX21" s="42">
        <f>+CV21*CW21</f>
        <v>937697588</v>
      </c>
      <c r="CY21" s="42">
        <f t="shared" si="13"/>
        <v>16</v>
      </c>
      <c r="CZ21" s="42">
        <f t="shared" si="13"/>
        <v>5.4954797908813608E+16</v>
      </c>
      <c r="DB21">
        <v>2020</v>
      </c>
      <c r="DC21" s="38">
        <v>4</v>
      </c>
      <c r="DD21" s="41">
        <f>+DD13</f>
        <v>3417084270</v>
      </c>
      <c r="DE21" s="42">
        <f>+DC21*DD21</f>
        <v>13668337080</v>
      </c>
      <c r="DF21" s="42">
        <f t="shared" si="14"/>
        <v>16</v>
      </c>
      <c r="DG21" s="42">
        <f t="shared" si="14"/>
        <v>1.1676464908281432E+19</v>
      </c>
      <c r="DI21">
        <v>2020</v>
      </c>
      <c r="DJ21" s="38">
        <v>4</v>
      </c>
      <c r="DK21" s="41">
        <f>+DK13</f>
        <v>1769012091</v>
      </c>
      <c r="DL21" s="42">
        <f>+DJ21*DK21</f>
        <v>7076048364</v>
      </c>
      <c r="DM21" s="42">
        <f t="shared" si="15"/>
        <v>16</v>
      </c>
      <c r="DN21" s="42">
        <f t="shared" si="15"/>
        <v>3.1294037781041925E+18</v>
      </c>
      <c r="DP21">
        <v>2020</v>
      </c>
      <c r="DQ21" s="38">
        <v>4</v>
      </c>
      <c r="DR21" s="41">
        <f>+DR13</f>
        <v>26627619</v>
      </c>
      <c r="DS21" s="42">
        <f>+DQ21*DR21</f>
        <v>106510476</v>
      </c>
      <c r="DT21" s="42">
        <f t="shared" si="16"/>
        <v>16</v>
      </c>
      <c r="DU21" s="42">
        <f t="shared" si="16"/>
        <v>709030093609161</v>
      </c>
      <c r="DW21">
        <v>2020</v>
      </c>
      <c r="DX21" s="38">
        <v>4</v>
      </c>
      <c r="DY21" s="41">
        <f>+DY13</f>
        <v>1343458823</v>
      </c>
      <c r="DZ21" s="42">
        <f>+DX21*DY21</f>
        <v>5373835292</v>
      </c>
      <c r="EA21" s="42">
        <f t="shared" si="17"/>
        <v>16</v>
      </c>
      <c r="EB21" s="42">
        <f t="shared" si="17"/>
        <v>1.8048816090965453E+18</v>
      </c>
      <c r="ED21">
        <v>2020</v>
      </c>
      <c r="EE21" s="38">
        <v>4</v>
      </c>
      <c r="EF21" s="41">
        <f>+EF13</f>
        <v>0</v>
      </c>
      <c r="EG21" s="42">
        <f>+EE21*EF21</f>
        <v>0</v>
      </c>
      <c r="EH21" s="42">
        <f t="shared" si="18"/>
        <v>16</v>
      </c>
      <c r="EI21" s="42">
        <f t="shared" si="18"/>
        <v>0</v>
      </c>
      <c r="EK21">
        <v>2020</v>
      </c>
      <c r="EL21" s="38">
        <v>4</v>
      </c>
      <c r="EM21" s="41">
        <f>+EM13</f>
        <v>4955622</v>
      </c>
      <c r="EN21" s="42">
        <f>+EL21*EM21</f>
        <v>19822488</v>
      </c>
      <c r="EO21" s="42">
        <f t="shared" si="19"/>
        <v>16</v>
      </c>
      <c r="EP21" s="42">
        <f t="shared" si="19"/>
        <v>24558189406884</v>
      </c>
      <c r="ER21">
        <v>2020</v>
      </c>
      <c r="ES21" s="38">
        <v>4</v>
      </c>
      <c r="ET21" s="41">
        <f>+ET13</f>
        <v>22040201</v>
      </c>
      <c r="EU21" s="42">
        <f>+ES21*ET21</f>
        <v>88160804</v>
      </c>
      <c r="EV21" s="42">
        <f t="shared" si="20"/>
        <v>16</v>
      </c>
      <c r="EW21" s="42">
        <f t="shared" si="20"/>
        <v>485770460120401</v>
      </c>
      <c r="EY21">
        <v>2020</v>
      </c>
      <c r="EZ21" s="38">
        <v>4</v>
      </c>
      <c r="FA21" s="41">
        <f>+FA13</f>
        <v>79732000</v>
      </c>
      <c r="FB21" s="42">
        <f>+EZ21*FA21</f>
        <v>318928000</v>
      </c>
      <c r="FC21" s="42">
        <f t="shared" si="21"/>
        <v>16</v>
      </c>
      <c r="FD21" s="42">
        <f t="shared" si="21"/>
        <v>6357191824000000</v>
      </c>
    </row>
    <row r="22" spans="1:160" x14ac:dyDescent="0.25">
      <c r="A22" s="43" t="s">
        <v>71</v>
      </c>
      <c r="B22" s="44">
        <f>SUM(B18:B21)</f>
        <v>10</v>
      </c>
      <c r="C22" s="44">
        <f>SUM(C18:C21)</f>
        <v>470018136</v>
      </c>
      <c r="D22" s="44">
        <f>SUM(D18:D21)</f>
        <v>1067317094</v>
      </c>
      <c r="E22" s="44">
        <f>SUM(E18:E21)</f>
        <v>30</v>
      </c>
      <c r="F22" s="44">
        <f>SUM(F18:F21)</f>
        <v>6.6440056377029344E+16</v>
      </c>
      <c r="H22" s="43" t="s">
        <v>71</v>
      </c>
      <c r="I22" s="44">
        <f>SUM(I18:I21)</f>
        <v>10</v>
      </c>
      <c r="J22" s="44">
        <f>SUM(J18:J21)</f>
        <v>402294552</v>
      </c>
      <c r="K22" s="44">
        <f>SUM(K18:K21)</f>
        <v>1256577509</v>
      </c>
      <c r="L22" s="44">
        <f>SUM(L18:L21)</f>
        <v>30</v>
      </c>
      <c r="M22" s="44">
        <f>SUM(M18:M21)</f>
        <v>5.7172339393322624E+16</v>
      </c>
      <c r="O22" s="43" t="s">
        <v>71</v>
      </c>
      <c r="P22" s="44">
        <f>SUM(P18:P21)</f>
        <v>10</v>
      </c>
      <c r="Q22" s="44">
        <f>SUM(Q18:Q21)</f>
        <v>1258094545</v>
      </c>
      <c r="R22" s="44">
        <f>SUM(R18:R21)</f>
        <v>3189011070</v>
      </c>
      <c r="S22" s="44">
        <f>SUM(S18:S21)</f>
        <v>30</v>
      </c>
      <c r="T22" s="44">
        <f>SUM(T18:T21)</f>
        <v>4.0109062753618669E+17</v>
      </c>
      <c r="V22" s="43" t="s">
        <v>71</v>
      </c>
      <c r="W22" s="44">
        <f>SUM(W18:W21)</f>
        <v>10</v>
      </c>
      <c r="X22" s="44">
        <f>SUM(X18:X21)</f>
        <v>462301102</v>
      </c>
      <c r="Y22" s="44">
        <f>SUM(Y18:Y21)</f>
        <v>1530007933</v>
      </c>
      <c r="Z22" s="44">
        <f>SUM(Z18:Z21)</f>
        <v>30</v>
      </c>
      <c r="AA22" s="44">
        <f>SUM(AA18:AA21)</f>
        <v>9.4064783542547088E+16</v>
      </c>
      <c r="AC22" s="43" t="s">
        <v>71</v>
      </c>
      <c r="AD22" s="44">
        <f>SUM(AD18:AD21)</f>
        <v>10</v>
      </c>
      <c r="AE22" s="44">
        <f>SUM(AE18:AE21)</f>
        <v>357706674</v>
      </c>
      <c r="AF22" s="44">
        <f>SUM(AF18:AF21)</f>
        <v>1052018767</v>
      </c>
      <c r="AG22" s="44">
        <f>SUM(AG18:AG21)</f>
        <v>30</v>
      </c>
      <c r="AH22" s="44">
        <f>SUM(AH18:AH21)</f>
        <v>4.1046927257919824E+16</v>
      </c>
      <c r="AJ22" s="43" t="s">
        <v>71</v>
      </c>
      <c r="AK22" s="44">
        <f>SUM(AK18:AK21)</f>
        <v>10</v>
      </c>
      <c r="AL22" s="44">
        <f>SUM(AL18:AL21)</f>
        <v>246558918</v>
      </c>
      <c r="AM22" s="44">
        <f>SUM(AM18:AM21)</f>
        <v>903473379</v>
      </c>
      <c r="AN22" s="44">
        <f>SUM(AN18:AN21)</f>
        <v>30</v>
      </c>
      <c r="AO22" s="44">
        <f>SUM(AO18:AO21)</f>
        <v>3.3678931504008472E+16</v>
      </c>
      <c r="AQ22" s="43" t="s">
        <v>71</v>
      </c>
      <c r="AR22" s="44">
        <f>SUM(AR18:AR21)</f>
        <v>10</v>
      </c>
      <c r="AS22" s="44">
        <f>SUM(AS18:AS21)</f>
        <v>851750361</v>
      </c>
      <c r="AT22" s="44">
        <f>SUM(AT18:AT21)</f>
        <v>2075705468</v>
      </c>
      <c r="AU22" s="44">
        <f>SUM(AU18:AU21)</f>
        <v>30</v>
      </c>
      <c r="AV22" s="44">
        <f>SUM(AV18:AV21)</f>
        <v>2.0499095087579213E+17</v>
      </c>
      <c r="AX22" s="43" t="s">
        <v>71</v>
      </c>
      <c r="AY22" s="44">
        <f>SUM(AY18:AY21)</f>
        <v>10</v>
      </c>
      <c r="AZ22" s="44">
        <f>SUM(AZ18:AZ21)</f>
        <v>431096541</v>
      </c>
      <c r="BA22" s="44">
        <f>SUM(BA18:BA21)</f>
        <v>1190182555</v>
      </c>
      <c r="BB22" s="44">
        <f>SUM(BB18:BB21)</f>
        <v>30</v>
      </c>
      <c r="BC22" s="44">
        <f>SUM(BC18:BC21)</f>
        <v>4.9480747814647984E+16</v>
      </c>
      <c r="BE22" s="43" t="s">
        <v>71</v>
      </c>
      <c r="BF22" s="44">
        <f>SUM(BF18:BF21)</f>
        <v>10</v>
      </c>
      <c r="BG22" s="44">
        <f>SUM(BG18:BG21)</f>
        <v>105728759</v>
      </c>
      <c r="BH22" s="44">
        <f>SUM(BH18:BH21)</f>
        <v>161541027</v>
      </c>
      <c r="BI22" s="44">
        <f>SUM(BI18:BI21)</f>
        <v>30</v>
      </c>
      <c r="BJ22" s="44">
        <f>SUM(BJ18:BJ21)</f>
        <v>5606665333056905</v>
      </c>
      <c r="BL22" s="43" t="s">
        <v>71</v>
      </c>
      <c r="BM22" s="44">
        <f>SUM(BM18:BM21)</f>
        <v>10</v>
      </c>
      <c r="BN22" s="44">
        <f>SUM(BN18:BN21)</f>
        <v>310104594</v>
      </c>
      <c r="BO22" s="44">
        <f>SUM(BO18:BO21)</f>
        <v>762095056</v>
      </c>
      <c r="BP22" s="44">
        <f>SUM(BP18:BP21)</f>
        <v>30</v>
      </c>
      <c r="BQ22" s="44">
        <f>SUM(BQ18:BQ21)</f>
        <v>2.7008788464966536E+16</v>
      </c>
      <c r="BS22" s="43" t="s">
        <v>71</v>
      </c>
      <c r="BT22" s="44">
        <f>SUM(BT18:BT21)</f>
        <v>10</v>
      </c>
      <c r="BU22" s="44">
        <f>SUM(BU18:BU21)</f>
        <v>169702714</v>
      </c>
      <c r="BV22" s="44">
        <f>SUM(BV18:BV21)</f>
        <v>399714922</v>
      </c>
      <c r="BW22" s="44">
        <f>SUM(BW18:BW21)</f>
        <v>30</v>
      </c>
      <c r="BX22" s="44">
        <f>SUM(BX18:BX21)</f>
        <v>7348133815767532</v>
      </c>
      <c r="BZ22" s="43" t="s">
        <v>71</v>
      </c>
      <c r="CA22" s="44">
        <f>SUM(CA18:CA21)</f>
        <v>10</v>
      </c>
      <c r="CB22" s="44">
        <f>SUM(CB18:CB21)</f>
        <v>1360000000</v>
      </c>
      <c r="CC22" s="44">
        <f>SUM(CC18:CC21)</f>
        <v>3400000000</v>
      </c>
      <c r="CD22" s="44">
        <f>SUM(CD18:CD21)</f>
        <v>30</v>
      </c>
      <c r="CE22" s="44">
        <f>SUM(CE18:CE21)</f>
        <v>4.624E+17</v>
      </c>
      <c r="CG22" s="43" t="s">
        <v>71</v>
      </c>
      <c r="CH22" s="44">
        <f>SUM(CH18:CH21)</f>
        <v>10</v>
      </c>
      <c r="CI22" s="44">
        <f>SUM(CI18:CI21)</f>
        <v>10303086</v>
      </c>
      <c r="CJ22" s="44">
        <f>SUM(CJ18:CJ21)</f>
        <v>41212344</v>
      </c>
      <c r="CK22" s="44">
        <f>SUM(CK18:CK21)</f>
        <v>30</v>
      </c>
      <c r="CL22" s="44">
        <f>SUM(CL18:CL21)</f>
        <v>106153581123396</v>
      </c>
      <c r="CN22" s="43" t="s">
        <v>71</v>
      </c>
      <c r="CO22" s="44">
        <f>SUM(CO18:CO21)</f>
        <v>10</v>
      </c>
      <c r="CP22" s="44">
        <f>SUM(CP18:CP21)</f>
        <v>872285215</v>
      </c>
      <c r="CQ22" s="44">
        <f>SUM(CQ18:CQ21)</f>
        <v>2085782528</v>
      </c>
      <c r="CR22" s="44">
        <f>SUM(CR18:CR21)</f>
        <v>30</v>
      </c>
      <c r="CS22" s="44">
        <f>SUM(CS18:CS21)</f>
        <v>1.9589785441836781E+17</v>
      </c>
      <c r="CU22" s="43" t="s">
        <v>71</v>
      </c>
      <c r="CV22" s="44">
        <f>SUM(CV18:CV21)</f>
        <v>10</v>
      </c>
      <c r="CW22" s="44">
        <f>SUM(CW18:CW21)</f>
        <v>337455251</v>
      </c>
      <c r="CX22" s="44">
        <f>SUM(CX18:CX21)</f>
        <v>1246790150</v>
      </c>
      <c r="CY22" s="44">
        <f>SUM(CY18:CY21)</f>
        <v>30</v>
      </c>
      <c r="CZ22" s="44">
        <f>SUM(CZ18:CZ21)</f>
        <v>6.5570154784782928E+16</v>
      </c>
      <c r="DB22" s="43" t="s">
        <v>71</v>
      </c>
      <c r="DC22" s="44">
        <f>SUM(DC18:DC21)</f>
        <v>10</v>
      </c>
      <c r="DD22" s="44">
        <f>SUM(DD18:DD21)</f>
        <v>9409819134</v>
      </c>
      <c r="DE22" s="44">
        <f>SUM(DE18:DE21)</f>
        <v>27260815491</v>
      </c>
      <c r="DF22" s="44">
        <f>SUM(DF18:DF21)</f>
        <v>30</v>
      </c>
      <c r="DG22" s="44">
        <f>SUM(DG18:DG21)</f>
        <v>2.4966664851444851E+19</v>
      </c>
      <c r="DI22" s="43" t="s">
        <v>71</v>
      </c>
      <c r="DJ22" s="44">
        <f>SUM(DJ18:DJ21)</f>
        <v>10</v>
      </c>
      <c r="DK22" s="44">
        <f>SUM(DK18:DK21)</f>
        <v>3273568554</v>
      </c>
      <c r="DL22" s="44">
        <f>SUM(DL18:DL21)</f>
        <v>11589717753</v>
      </c>
      <c r="DM22" s="44">
        <f>SUM(DM18:DM21)</f>
        <v>30</v>
      </c>
      <c r="DN22" s="44">
        <f>SUM(DN18:DN21)</f>
        <v>5.393093928459263E+18</v>
      </c>
      <c r="DP22" s="43" t="s">
        <v>71</v>
      </c>
      <c r="DQ22" s="44">
        <f>SUM(DQ18:DQ21)</f>
        <v>10</v>
      </c>
      <c r="DR22" s="44">
        <f>SUM(DR18:DR21)</f>
        <v>44502146</v>
      </c>
      <c r="DS22" s="44">
        <f>SUM(DS18:DS21)</f>
        <v>134475321</v>
      </c>
      <c r="DT22" s="44">
        <f>SUM(DT18:DT21)</f>
        <v>30</v>
      </c>
      <c r="DU22" s="44">
        <f>SUM(DU18:DU21)</f>
        <v>858772027205046</v>
      </c>
      <c r="DW22" s="43" t="s">
        <v>71</v>
      </c>
      <c r="DX22" s="44">
        <f>SUM(DX18:DX21)</f>
        <v>10</v>
      </c>
      <c r="DY22" s="44">
        <f>SUM(DY18:DY21)</f>
        <v>5694191200</v>
      </c>
      <c r="DZ22" s="44">
        <f>SUM(DZ18:DZ21)</f>
        <v>13963564696</v>
      </c>
      <c r="EA22" s="44">
        <f>SUM(EA18:EA21)</f>
        <v>30</v>
      </c>
      <c r="EB22" s="44">
        <f>SUM(EB18:EB21)</f>
        <v>8.3964139587410606E+18</v>
      </c>
      <c r="ED22" s="43" t="s">
        <v>71</v>
      </c>
      <c r="EE22" s="44">
        <f>SUM(EE18:EE21)</f>
        <v>10</v>
      </c>
      <c r="EF22" s="44">
        <f>SUM(EF18:EF21)</f>
        <v>0</v>
      </c>
      <c r="EG22" s="44">
        <f>SUM(EG18:EG21)</f>
        <v>0</v>
      </c>
      <c r="EH22" s="44">
        <f>SUM(EH18:EH21)</f>
        <v>30</v>
      </c>
      <c r="EI22" s="44">
        <f>SUM(EI18:EI21)</f>
        <v>0</v>
      </c>
      <c r="EK22" s="43" t="s">
        <v>71</v>
      </c>
      <c r="EL22" s="44">
        <f>SUM(EL18:EL21)</f>
        <v>10</v>
      </c>
      <c r="EM22" s="44">
        <f>SUM(EM18:EM21)</f>
        <v>5107842</v>
      </c>
      <c r="EN22" s="44">
        <f>SUM(EN18:EN21)</f>
        <v>20279148</v>
      </c>
      <c r="EO22" s="44">
        <f>SUM(EO18:EO21)</f>
        <v>30</v>
      </c>
      <c r="EP22" s="44">
        <f>SUM(EP18:EP21)</f>
        <v>24581360335284</v>
      </c>
      <c r="ER22" s="43" t="s">
        <v>71</v>
      </c>
      <c r="ES22" s="44">
        <f>SUM(ES18:ES21)</f>
        <v>10</v>
      </c>
      <c r="ET22" s="44">
        <f>SUM(ET18:ET21)</f>
        <v>93381812</v>
      </c>
      <c r="EU22" s="44">
        <f>SUM(EU18:EU21)</f>
        <v>224262170</v>
      </c>
      <c r="EV22" s="44">
        <f>SUM(EV18:EV21)</f>
        <v>30</v>
      </c>
      <c r="EW22" s="44">
        <f>SUM(EW18:EW21)</f>
        <v>2234465149674172</v>
      </c>
      <c r="EY22" s="43" t="s">
        <v>71</v>
      </c>
      <c r="EZ22" s="44">
        <f>SUM(EZ18:EZ21)</f>
        <v>10</v>
      </c>
      <c r="FA22" s="44">
        <f>SUM(FA18:FA21)</f>
        <v>142966000</v>
      </c>
      <c r="FB22" s="44">
        <f>SUM(FB18:FB21)</f>
        <v>503130000</v>
      </c>
      <c r="FC22" s="44">
        <f>SUM(FC18:FC21)</f>
        <v>30</v>
      </c>
      <c r="FD22" s="44">
        <f>SUM(FD18:FD21)</f>
        <v>9938071470000000</v>
      </c>
    </row>
    <row r="23" spans="1:160" x14ac:dyDescent="0.25">
      <c r="A23" s="43" t="s">
        <v>72</v>
      </c>
      <c r="B23" s="44">
        <f>AVERAGE(B18:B21)</f>
        <v>2.5</v>
      </c>
      <c r="C23" s="44">
        <f>AVERAGE(C18:C21)</f>
        <v>117504534</v>
      </c>
      <c r="D23" s="44"/>
      <c r="E23" s="44"/>
      <c r="F23" s="44"/>
      <c r="H23" s="43" t="s">
        <v>72</v>
      </c>
      <c r="I23" s="44">
        <f>AVERAGE(I18:I21)</f>
        <v>2.5</v>
      </c>
      <c r="J23" s="44">
        <f>AVERAGE(J18:J21)</f>
        <v>100573638</v>
      </c>
      <c r="K23" s="44"/>
      <c r="L23" s="44"/>
      <c r="M23" s="44"/>
      <c r="O23" s="43" t="s">
        <v>72</v>
      </c>
      <c r="P23" s="44">
        <f>AVERAGE(P18:P21)</f>
        <v>2.5</v>
      </c>
      <c r="Q23" s="44">
        <f>AVERAGE(Q18:Q21)</f>
        <v>314523636.25</v>
      </c>
      <c r="R23" s="44"/>
      <c r="S23" s="44"/>
      <c r="T23" s="44"/>
      <c r="V23" s="43" t="s">
        <v>72</v>
      </c>
      <c r="W23" s="44">
        <f>AVERAGE(W18:W21)</f>
        <v>2.5</v>
      </c>
      <c r="X23" s="44">
        <f>AVERAGE(X18:X21)</f>
        <v>115575275.5</v>
      </c>
      <c r="Y23" s="44"/>
      <c r="Z23" s="44"/>
      <c r="AA23" s="44"/>
      <c r="AC23" s="43" t="s">
        <v>72</v>
      </c>
      <c r="AD23" s="44">
        <f>AVERAGE(AD18:AD21)</f>
        <v>2.5</v>
      </c>
      <c r="AE23" s="44">
        <f>AVERAGE(AE18:AE21)</f>
        <v>89426668.5</v>
      </c>
      <c r="AF23" s="44"/>
      <c r="AG23" s="44"/>
      <c r="AH23" s="44"/>
      <c r="AJ23" s="43" t="s">
        <v>72</v>
      </c>
      <c r="AK23" s="44">
        <f>AVERAGE(AK18:AK21)</f>
        <v>2.5</v>
      </c>
      <c r="AL23" s="44">
        <f>AVERAGE(AL18:AL21)</f>
        <v>61639729.5</v>
      </c>
      <c r="AM23" s="44"/>
      <c r="AN23" s="44"/>
      <c r="AO23" s="44"/>
      <c r="AQ23" s="43" t="s">
        <v>72</v>
      </c>
      <c r="AR23" s="44">
        <f>AVERAGE(AR18:AR21)</f>
        <v>2.5</v>
      </c>
      <c r="AS23" s="44">
        <f>AVERAGE(AS18:AS21)</f>
        <v>212937590.25</v>
      </c>
      <c r="AT23" s="44"/>
      <c r="AU23" s="44"/>
      <c r="AV23" s="44"/>
      <c r="AX23" s="43" t="s">
        <v>72</v>
      </c>
      <c r="AY23" s="44">
        <f>AVERAGE(AY18:AY21)</f>
        <v>2.5</v>
      </c>
      <c r="AZ23" s="44">
        <f>AVERAGE(AZ18:AZ21)</f>
        <v>107774135.25</v>
      </c>
      <c r="BA23" s="44"/>
      <c r="BB23" s="44"/>
      <c r="BC23" s="44"/>
      <c r="BE23" s="43" t="s">
        <v>72</v>
      </c>
      <c r="BF23" s="44">
        <f>AVERAGE(BF18:BF21)</f>
        <v>2.5</v>
      </c>
      <c r="BG23" s="44">
        <f>AVERAGE(BG18:BG21)</f>
        <v>26432189.75</v>
      </c>
      <c r="BH23" s="44"/>
      <c r="BI23" s="44"/>
      <c r="BJ23" s="44"/>
      <c r="BL23" s="43" t="s">
        <v>72</v>
      </c>
      <c r="BM23" s="44">
        <f>AVERAGE(BM18:BM21)</f>
        <v>2.5</v>
      </c>
      <c r="BN23" s="44">
        <f>AVERAGE(BN18:BN21)</f>
        <v>77526148.5</v>
      </c>
      <c r="BO23" s="44"/>
      <c r="BP23" s="44"/>
      <c r="BQ23" s="44"/>
      <c r="BS23" s="43" t="s">
        <v>72</v>
      </c>
      <c r="BT23" s="44">
        <f>AVERAGE(BT18:BT21)</f>
        <v>2.5</v>
      </c>
      <c r="BU23" s="44">
        <f>AVERAGE(BU18:BU21)</f>
        <v>42425678.5</v>
      </c>
      <c r="BV23" s="44"/>
      <c r="BW23" s="44"/>
      <c r="BX23" s="44"/>
      <c r="BZ23" s="43" t="s">
        <v>72</v>
      </c>
      <c r="CA23" s="44">
        <f>AVERAGE(CA18:CA21)</f>
        <v>2.5</v>
      </c>
      <c r="CB23" s="44">
        <f>AVERAGE(CB18:CB21)</f>
        <v>340000000</v>
      </c>
      <c r="CC23" s="44"/>
      <c r="CD23" s="44"/>
      <c r="CE23" s="44"/>
      <c r="CG23" s="43" t="s">
        <v>72</v>
      </c>
      <c r="CH23" s="44">
        <f>AVERAGE(CH18:CH21)</f>
        <v>2.5</v>
      </c>
      <c r="CI23" s="44">
        <f>AVERAGE(CI18:CI21)</f>
        <v>2575771.5</v>
      </c>
      <c r="CJ23" s="44"/>
      <c r="CK23" s="44"/>
      <c r="CL23" s="44"/>
      <c r="CN23" s="43" t="s">
        <v>72</v>
      </c>
      <c r="CO23" s="44">
        <f>AVERAGE(CO18:CO21)</f>
        <v>2.5</v>
      </c>
      <c r="CP23" s="44">
        <f>AVERAGE(CP18:CP21)</f>
        <v>218071303.75</v>
      </c>
      <c r="CQ23" s="44"/>
      <c r="CR23" s="44"/>
      <c r="CS23" s="44"/>
      <c r="CU23" s="43" t="s">
        <v>72</v>
      </c>
      <c r="CV23" s="44">
        <f>AVERAGE(CV18:CV21)</f>
        <v>2.5</v>
      </c>
      <c r="CW23" s="44">
        <f>AVERAGE(CW18:CW21)</f>
        <v>84363812.75</v>
      </c>
      <c r="CX23" s="44"/>
      <c r="CY23" s="44"/>
      <c r="CZ23" s="44"/>
      <c r="DB23" s="43" t="s">
        <v>72</v>
      </c>
      <c r="DC23" s="44">
        <f>AVERAGE(DC18:DC21)</f>
        <v>2.5</v>
      </c>
      <c r="DD23" s="44">
        <f>AVERAGE(DD18:DD21)</f>
        <v>2352454783.5</v>
      </c>
      <c r="DE23" s="44"/>
      <c r="DF23" s="44"/>
      <c r="DG23" s="44"/>
      <c r="DI23" s="43" t="s">
        <v>72</v>
      </c>
      <c r="DJ23" s="44">
        <f>AVERAGE(DJ18:DJ21)</f>
        <v>2.5</v>
      </c>
      <c r="DK23" s="44">
        <f>AVERAGE(DK18:DK21)</f>
        <v>818392138.5</v>
      </c>
      <c r="DL23" s="44"/>
      <c r="DM23" s="44"/>
      <c r="DN23" s="44"/>
      <c r="DP23" s="43" t="s">
        <v>72</v>
      </c>
      <c r="DQ23" s="44">
        <f>AVERAGE(DQ18:DQ21)</f>
        <v>2.5</v>
      </c>
      <c r="DR23" s="44">
        <f>AVERAGE(DR18:DR21)</f>
        <v>11125536.5</v>
      </c>
      <c r="DS23" s="44"/>
      <c r="DT23" s="44"/>
      <c r="DU23" s="44"/>
      <c r="DW23" s="43" t="s">
        <v>72</v>
      </c>
      <c r="DX23" s="44">
        <f>AVERAGE(DX18:DX21)</f>
        <v>2.5</v>
      </c>
      <c r="DY23" s="44">
        <f>AVERAGE(DY18:DY21)</f>
        <v>1423547800</v>
      </c>
      <c r="DZ23" s="44"/>
      <c r="EA23" s="44"/>
      <c r="EB23" s="44"/>
      <c r="ED23" s="43" t="s">
        <v>72</v>
      </c>
      <c r="EE23" s="44">
        <f>AVERAGE(EE18:EE21)</f>
        <v>2.5</v>
      </c>
      <c r="EF23" s="44">
        <f>AVERAGE(EF18:EF21)</f>
        <v>0</v>
      </c>
      <c r="EG23" s="44"/>
      <c r="EH23" s="44"/>
      <c r="EI23" s="44"/>
      <c r="EK23" s="43" t="s">
        <v>72</v>
      </c>
      <c r="EL23" s="44">
        <f>AVERAGE(EL18:EL21)</f>
        <v>2.5</v>
      </c>
      <c r="EM23" s="44">
        <f>AVERAGE(EM18:EM21)</f>
        <v>1276960.5</v>
      </c>
      <c r="EN23" s="44"/>
      <c r="EO23" s="44"/>
      <c r="EP23" s="44"/>
      <c r="ER23" s="43" t="s">
        <v>72</v>
      </c>
      <c r="ES23" s="44">
        <f>AVERAGE(ES18:ES21)</f>
        <v>2.5</v>
      </c>
      <c r="ET23" s="44">
        <f>AVERAGE(ET18:ET21)</f>
        <v>23345453</v>
      </c>
      <c r="EU23" s="44"/>
      <c r="EV23" s="44"/>
      <c r="EW23" s="44"/>
      <c r="EY23" s="43" t="s">
        <v>72</v>
      </c>
      <c r="EZ23" s="44">
        <f>AVERAGE(EZ18:EZ21)</f>
        <v>2.5</v>
      </c>
      <c r="FA23" s="44">
        <f>AVERAGE(FA18:FA21)</f>
        <v>35741500</v>
      </c>
      <c r="FB23" s="44"/>
      <c r="FC23" s="44"/>
      <c r="FD23" s="44"/>
    </row>
    <row r="25" spans="1:160" x14ac:dyDescent="0.25">
      <c r="A25" t="s">
        <v>73</v>
      </c>
      <c r="B25" s="45">
        <f>B21*D22</f>
        <v>4269268376</v>
      </c>
      <c r="C25" s="46">
        <f>B25-B26</f>
        <v>-430912984</v>
      </c>
      <c r="H25" t="s">
        <v>73</v>
      </c>
      <c r="I25" s="45">
        <f>I21*K22</f>
        <v>5026310036</v>
      </c>
      <c r="J25" s="46">
        <f>I25-I26</f>
        <v>1003364516</v>
      </c>
      <c r="O25" t="s">
        <v>73</v>
      </c>
      <c r="P25" s="45">
        <f>P21*R22</f>
        <v>12756044280</v>
      </c>
      <c r="Q25" s="46">
        <f>P25-P26</f>
        <v>175098830</v>
      </c>
      <c r="V25" t="s">
        <v>73</v>
      </c>
      <c r="W25" s="45">
        <f>W21*Y22</f>
        <v>6120031732</v>
      </c>
      <c r="X25" s="46">
        <f>W25-W26</f>
        <v>1497020712</v>
      </c>
      <c r="AC25" t="s">
        <v>73</v>
      </c>
      <c r="AD25" s="45">
        <f>AD21*AF22</f>
        <v>4208075068</v>
      </c>
      <c r="AE25" s="46">
        <f>AD25-AD26</f>
        <v>631008328</v>
      </c>
      <c r="AJ25" t="s">
        <v>73</v>
      </c>
      <c r="AK25" s="45">
        <f>AK21*AM22</f>
        <v>3613893516</v>
      </c>
      <c r="AL25" s="46">
        <f>AK25-AK26</f>
        <v>1148304336</v>
      </c>
      <c r="AQ25" t="s">
        <v>73</v>
      </c>
      <c r="AR25" s="45">
        <f>AR21*AT22</f>
        <v>8302821872</v>
      </c>
      <c r="AS25" s="46">
        <f>AR25-AR26</f>
        <v>-214681738</v>
      </c>
      <c r="AX25" t="s">
        <v>73</v>
      </c>
      <c r="AY25" s="45">
        <f>AY21*BA22</f>
        <v>4760730220</v>
      </c>
      <c r="AZ25" s="46">
        <f>AY25-AY26</f>
        <v>449764810</v>
      </c>
      <c r="BE25" t="s">
        <v>73</v>
      </c>
      <c r="BF25" s="45">
        <f>BF21*BH22</f>
        <v>646164108</v>
      </c>
      <c r="BG25" s="46">
        <f>BF25-BF26</f>
        <v>-411123482</v>
      </c>
      <c r="BL25" t="s">
        <v>73</v>
      </c>
      <c r="BM25" s="45">
        <f>BM21*BO22</f>
        <v>3048380224</v>
      </c>
      <c r="BN25" s="46">
        <f>BM25-BM26</f>
        <v>-52665716</v>
      </c>
      <c r="BS25" t="s">
        <v>73</v>
      </c>
      <c r="BT25" s="45">
        <f>BT21*BV22</f>
        <v>1598859688</v>
      </c>
      <c r="BU25" s="46">
        <f>BT25-BT26</f>
        <v>-98167452</v>
      </c>
      <c r="BZ25" t="s">
        <v>73</v>
      </c>
      <c r="CA25" s="45">
        <f>CA21*CC22</f>
        <v>13600000000</v>
      </c>
      <c r="CB25" s="46">
        <f>CA25-CA26</f>
        <v>0</v>
      </c>
      <c r="CG25" t="s">
        <v>73</v>
      </c>
      <c r="CH25" s="45">
        <f>CH21*CJ22</f>
        <v>164849376</v>
      </c>
      <c r="CI25" s="46">
        <f>CH25-CH26</f>
        <v>61818516</v>
      </c>
      <c r="CN25" t="s">
        <v>73</v>
      </c>
      <c r="CO25" s="45">
        <f>CO21*CQ22</f>
        <v>8343130112</v>
      </c>
      <c r="CP25" s="46">
        <f>CO25-CO26</f>
        <v>-379722038</v>
      </c>
      <c r="CU25" t="s">
        <v>73</v>
      </c>
      <c r="CV25" s="45">
        <f>CV21*CX22</f>
        <v>4987160600</v>
      </c>
      <c r="CW25" s="46">
        <f>CV25-CV26</f>
        <v>1612608090</v>
      </c>
      <c r="DB25" t="s">
        <v>73</v>
      </c>
      <c r="DC25" s="45">
        <f>DC21*DE22</f>
        <v>109043261964</v>
      </c>
      <c r="DD25" s="46">
        <f>DC25-DC26</f>
        <v>14945070624</v>
      </c>
      <c r="DI25" t="s">
        <v>73</v>
      </c>
      <c r="DJ25" s="45">
        <f>DJ21*DL22</f>
        <v>46358871012</v>
      </c>
      <c r="DK25" s="46">
        <f>DJ25-DJ26</f>
        <v>13623185472</v>
      </c>
      <c r="DP25" t="s">
        <v>73</v>
      </c>
      <c r="DQ25" s="45">
        <f>DQ21*DS22</f>
        <v>537901284</v>
      </c>
      <c r="DR25" s="46">
        <f>DQ25-DQ26</f>
        <v>92879824</v>
      </c>
      <c r="DW25" t="s">
        <v>73</v>
      </c>
      <c r="DX25" s="45">
        <f>DX21*DZ22</f>
        <v>55854258784</v>
      </c>
      <c r="DY25" s="46">
        <f>DX25-DX26</f>
        <v>-1087653216</v>
      </c>
      <c r="ED25" t="s">
        <v>73</v>
      </c>
      <c r="EE25" s="45">
        <f>EE21*EG22</f>
        <v>0</v>
      </c>
      <c r="EF25" s="46">
        <f>EE25-EE26</f>
        <v>0</v>
      </c>
      <c r="EK25" t="s">
        <v>73</v>
      </c>
      <c r="EL25" s="45">
        <f>EL21*EN22</f>
        <v>81116592</v>
      </c>
      <c r="EM25" s="46">
        <f>EL25-EL26</f>
        <v>30038172</v>
      </c>
      <c r="ER25" t="s">
        <v>73</v>
      </c>
      <c r="ES25" s="45">
        <f>ES21*EU22</f>
        <v>897048680</v>
      </c>
      <c r="ET25" s="46">
        <f>ES25-ES26</f>
        <v>-36769440</v>
      </c>
      <c r="EY25" t="s">
        <v>73</v>
      </c>
      <c r="EZ25" s="45">
        <f>EZ21*FB22</f>
        <v>2012520000</v>
      </c>
      <c r="FA25" s="46">
        <f>EZ25-EZ26</f>
        <v>582860000</v>
      </c>
    </row>
    <row r="26" spans="1:160" x14ac:dyDescent="0.25">
      <c r="B26" s="45">
        <f>B22*C22</f>
        <v>4700181360</v>
      </c>
      <c r="I26" s="45">
        <f>I22*J22</f>
        <v>4022945520</v>
      </c>
      <c r="P26" s="45">
        <f>P22*Q22</f>
        <v>12580945450</v>
      </c>
      <c r="W26" s="45">
        <f>W22*X22</f>
        <v>4623011020</v>
      </c>
      <c r="AD26" s="45">
        <f>AD22*AE22</f>
        <v>3577066740</v>
      </c>
      <c r="AK26" s="45">
        <f>AK22*AL22</f>
        <v>2465589180</v>
      </c>
      <c r="AR26" s="45">
        <f>AR22*AS22</f>
        <v>8517503610</v>
      </c>
      <c r="AY26" s="45">
        <f>AY22*AZ22</f>
        <v>4310965410</v>
      </c>
      <c r="BF26" s="45">
        <f>BF22*BG22</f>
        <v>1057287590</v>
      </c>
      <c r="BM26" s="45">
        <f>BM22*BN22</f>
        <v>3101045940</v>
      </c>
      <c r="BT26" s="45">
        <f>BT22*BU22</f>
        <v>1697027140</v>
      </c>
      <c r="CA26" s="45">
        <f>CA22*CB22</f>
        <v>13600000000</v>
      </c>
      <c r="CH26" s="45">
        <f>CH22*CI22</f>
        <v>103030860</v>
      </c>
      <c r="CO26" s="45">
        <f>CO22*CP22</f>
        <v>8722852150</v>
      </c>
      <c r="CV26" s="45">
        <f>CV22*CW22</f>
        <v>3374552510</v>
      </c>
      <c r="DC26" s="45">
        <f>DC22*DD22</f>
        <v>94098191340</v>
      </c>
      <c r="DJ26" s="45">
        <f>DJ22*DK22</f>
        <v>32735685540</v>
      </c>
      <c r="DQ26" s="45">
        <f>DQ22*DR22</f>
        <v>445021460</v>
      </c>
      <c r="DX26" s="45">
        <f>DX22*DY22</f>
        <v>56941912000</v>
      </c>
      <c r="EE26" s="45">
        <f>EE22*EF22</f>
        <v>0</v>
      </c>
      <c r="EL26" s="45">
        <f>EL22*EM22</f>
        <v>51078420</v>
      </c>
      <c r="ES26" s="45">
        <f>ES22*ET22</f>
        <v>933818120</v>
      </c>
      <c r="EZ26" s="45">
        <f>EZ22*FA22</f>
        <v>1429660000</v>
      </c>
    </row>
    <row r="27" spans="1:160" s="47" customFormat="1" x14ac:dyDescent="0.25">
      <c r="B27" s="48"/>
      <c r="G27" s="58"/>
      <c r="I27" s="48"/>
      <c r="N27" s="58"/>
      <c r="P27" s="48"/>
      <c r="U27" s="58"/>
      <c r="W27" s="48"/>
      <c r="AB27" s="58"/>
      <c r="AD27" s="48"/>
      <c r="AI27" s="58"/>
      <c r="AK27" s="48"/>
      <c r="AP27" s="58"/>
      <c r="AR27" s="48"/>
      <c r="AW27" s="58"/>
      <c r="AY27" s="48"/>
      <c r="BD27" s="58"/>
      <c r="BF27" s="48"/>
      <c r="BK27" s="58"/>
      <c r="BM27" s="48"/>
      <c r="BR27" s="58"/>
      <c r="BT27" s="48"/>
      <c r="BY27" s="58"/>
      <c r="CA27" s="48"/>
      <c r="CF27" s="58"/>
      <c r="CH27" s="48"/>
      <c r="CM27" s="58"/>
      <c r="CO27" s="48"/>
      <c r="CT27" s="58"/>
      <c r="CV27" s="48"/>
      <c r="DA27" s="58"/>
      <c r="DC27" s="48"/>
      <c r="DH27" s="58"/>
      <c r="DJ27" s="48"/>
      <c r="DO27" s="58"/>
      <c r="DQ27" s="48"/>
      <c r="DV27" s="58"/>
      <c r="DX27" s="48"/>
      <c r="EC27" s="58"/>
      <c r="EE27" s="48"/>
      <c r="EJ27" s="58"/>
      <c r="EL27" s="48"/>
      <c r="EQ27" s="58"/>
      <c r="ES27" s="48"/>
      <c r="EX27" s="58"/>
      <c r="EZ27" s="48"/>
    </row>
    <row r="28" spans="1:160" x14ac:dyDescent="0.25">
      <c r="A28" t="s">
        <v>73</v>
      </c>
      <c r="B28" s="45">
        <f>E22*B21</f>
        <v>120</v>
      </c>
      <c r="C28" s="49">
        <f>B28-B29</f>
        <v>20</v>
      </c>
      <c r="H28" t="s">
        <v>73</v>
      </c>
      <c r="I28" s="45">
        <f>L22*I21</f>
        <v>120</v>
      </c>
      <c r="J28" s="49">
        <f>I28-I29</f>
        <v>20</v>
      </c>
      <c r="O28" t="s">
        <v>73</v>
      </c>
      <c r="P28" s="45">
        <f>S22*P21</f>
        <v>120</v>
      </c>
      <c r="Q28" s="49">
        <f>P28-P29</f>
        <v>20</v>
      </c>
      <c r="V28" t="s">
        <v>73</v>
      </c>
      <c r="W28" s="45">
        <f>Z22*W21</f>
        <v>120</v>
      </c>
      <c r="X28" s="49">
        <f>W28-W29</f>
        <v>20</v>
      </c>
      <c r="AC28" t="s">
        <v>73</v>
      </c>
      <c r="AD28" s="45">
        <f>AG22*AD21</f>
        <v>120</v>
      </c>
      <c r="AE28" s="49">
        <f>AD28-AD29</f>
        <v>20</v>
      </c>
      <c r="AJ28" t="s">
        <v>73</v>
      </c>
      <c r="AK28" s="45">
        <f>AN22*AK21</f>
        <v>120</v>
      </c>
      <c r="AL28" s="49">
        <f>AK28-AK29</f>
        <v>20</v>
      </c>
      <c r="AQ28" t="s">
        <v>73</v>
      </c>
      <c r="AR28" s="45">
        <f>AU22*AR21</f>
        <v>120</v>
      </c>
      <c r="AS28" s="49">
        <f>AR28-AR29</f>
        <v>20</v>
      </c>
      <c r="AX28" t="s">
        <v>73</v>
      </c>
      <c r="AY28" s="45">
        <f>BB22*AY21</f>
        <v>120</v>
      </c>
      <c r="AZ28" s="49">
        <f>AY28-AY29</f>
        <v>20</v>
      </c>
      <c r="BE28" t="s">
        <v>73</v>
      </c>
      <c r="BF28" s="45">
        <f>BI22*BF21</f>
        <v>120</v>
      </c>
      <c r="BG28" s="49">
        <f>BF28-BF29</f>
        <v>20</v>
      </c>
      <c r="BL28" t="s">
        <v>73</v>
      </c>
      <c r="BM28" s="45">
        <f>BP22*BM21</f>
        <v>120</v>
      </c>
      <c r="BN28" s="49">
        <f>BM28-BM29</f>
        <v>20</v>
      </c>
      <c r="BS28" t="s">
        <v>73</v>
      </c>
      <c r="BT28" s="45">
        <f>BW22*BT21</f>
        <v>120</v>
      </c>
      <c r="BU28" s="49">
        <f>BT28-BT29</f>
        <v>20</v>
      </c>
      <c r="BZ28" t="s">
        <v>73</v>
      </c>
      <c r="CA28" s="45">
        <f>CD22*CA21</f>
        <v>120</v>
      </c>
      <c r="CB28" s="49">
        <f>CA28-CA29</f>
        <v>20</v>
      </c>
      <c r="CG28" t="s">
        <v>73</v>
      </c>
      <c r="CH28" s="45">
        <f>CK22*CH21</f>
        <v>120</v>
      </c>
      <c r="CI28" s="49">
        <f>CH28-CH29</f>
        <v>20</v>
      </c>
      <c r="CN28" t="s">
        <v>73</v>
      </c>
      <c r="CO28" s="45">
        <f>CR22*CO21</f>
        <v>120</v>
      </c>
      <c r="CP28" s="49">
        <f>CO28-CO29</f>
        <v>20</v>
      </c>
      <c r="CU28" t="s">
        <v>73</v>
      </c>
      <c r="CV28" s="45">
        <f>CY22*CV21</f>
        <v>120</v>
      </c>
      <c r="CW28" s="49">
        <f>CV28-CV29</f>
        <v>20</v>
      </c>
      <c r="DB28" t="s">
        <v>73</v>
      </c>
      <c r="DC28" s="45">
        <f>DF22*DC21</f>
        <v>120</v>
      </c>
      <c r="DD28" s="49">
        <f>DC28-DC29</f>
        <v>20</v>
      </c>
      <c r="DI28" t="s">
        <v>73</v>
      </c>
      <c r="DJ28" s="45">
        <f>DM22*DJ21</f>
        <v>120</v>
      </c>
      <c r="DK28" s="49">
        <f>DJ28-DJ29</f>
        <v>20</v>
      </c>
      <c r="DP28" t="s">
        <v>73</v>
      </c>
      <c r="DQ28" s="45">
        <f>DT22*DQ21</f>
        <v>120</v>
      </c>
      <c r="DR28" s="49">
        <f>DQ28-DQ29</f>
        <v>20</v>
      </c>
      <c r="DW28" t="s">
        <v>73</v>
      </c>
      <c r="DX28" s="45">
        <f>EA22*DX21</f>
        <v>120</v>
      </c>
      <c r="DY28" s="49">
        <f>DX28-DX29</f>
        <v>20</v>
      </c>
      <c r="ED28" t="s">
        <v>73</v>
      </c>
      <c r="EE28" s="45">
        <f>EH22*EE21</f>
        <v>120</v>
      </c>
      <c r="EF28" s="49">
        <f>EE28-EE29</f>
        <v>20</v>
      </c>
      <c r="EK28" t="s">
        <v>73</v>
      </c>
      <c r="EL28" s="45">
        <f>EO22*EL21</f>
        <v>120</v>
      </c>
      <c r="EM28" s="49">
        <f>EL28-EL29</f>
        <v>20</v>
      </c>
      <c r="ER28" t="s">
        <v>73</v>
      </c>
      <c r="ES28" s="45">
        <f>EV22*ES21</f>
        <v>120</v>
      </c>
      <c r="ET28" s="49">
        <f>ES28-ES29</f>
        <v>20</v>
      </c>
      <c r="EY28" t="s">
        <v>73</v>
      </c>
      <c r="EZ28" s="45">
        <f>FC22*EZ21</f>
        <v>120</v>
      </c>
      <c r="FA28" s="49">
        <f>EZ28-EZ29</f>
        <v>20</v>
      </c>
    </row>
    <row r="29" spans="1:160" x14ac:dyDescent="0.25">
      <c r="B29" s="45">
        <f>B22^2</f>
        <v>100</v>
      </c>
      <c r="I29" s="45">
        <f>I22^2</f>
        <v>100</v>
      </c>
      <c r="P29" s="45">
        <f>P22^2</f>
        <v>100</v>
      </c>
      <c r="W29" s="45">
        <f>W22^2</f>
        <v>100</v>
      </c>
      <c r="AD29" s="45">
        <f>AD22^2</f>
        <v>100</v>
      </c>
      <c r="AK29" s="45">
        <f>AK22^2</f>
        <v>100</v>
      </c>
      <c r="AR29" s="45">
        <f>AR22^2</f>
        <v>100</v>
      </c>
      <c r="AY29" s="45">
        <f>AY22^2</f>
        <v>100</v>
      </c>
      <c r="BF29" s="45">
        <f>BF22^2</f>
        <v>100</v>
      </c>
      <c r="BM29" s="45">
        <f>BM22^2</f>
        <v>100</v>
      </c>
      <c r="BT29" s="45">
        <f>BT22^2</f>
        <v>100</v>
      </c>
      <c r="CA29" s="45">
        <f>CA22^2</f>
        <v>100</v>
      </c>
      <c r="CH29" s="45">
        <f>CH22^2</f>
        <v>100</v>
      </c>
      <c r="CO29" s="45">
        <f>CO22^2</f>
        <v>100</v>
      </c>
      <c r="CV29" s="45">
        <f>CV22^2</f>
        <v>100</v>
      </c>
      <c r="DC29" s="45">
        <f>DC22^2</f>
        <v>100</v>
      </c>
      <c r="DJ29" s="45">
        <f>DJ22^2</f>
        <v>100</v>
      </c>
      <c r="DQ29" s="45">
        <f>DQ22^2</f>
        <v>100</v>
      </c>
      <c r="DX29" s="45">
        <f>DX22^2</f>
        <v>100</v>
      </c>
      <c r="EE29" s="45">
        <f>EE22^2</f>
        <v>100</v>
      </c>
      <c r="EL29" s="45">
        <f>EL22^2</f>
        <v>100</v>
      </c>
      <c r="ES29" s="45">
        <f>ES22^2</f>
        <v>100</v>
      </c>
      <c r="EZ29" s="45">
        <f>EZ22^2</f>
        <v>100</v>
      </c>
    </row>
    <row r="31" spans="1:160" ht="18.75" x14ac:dyDescent="0.3">
      <c r="A31" s="35" t="s">
        <v>73</v>
      </c>
      <c r="B31" s="50">
        <f>C25/C28</f>
        <v>-21545649.199999999</v>
      </c>
      <c r="H31" s="35" t="s">
        <v>73</v>
      </c>
      <c r="I31" s="50">
        <f>J25/J28</f>
        <v>50168225.799999997</v>
      </c>
      <c r="O31" s="35" t="s">
        <v>73</v>
      </c>
      <c r="P31" s="50">
        <f>Q25/Q28</f>
        <v>8754941.5</v>
      </c>
      <c r="V31" s="35" t="s">
        <v>73</v>
      </c>
      <c r="W31" s="50">
        <f>X25/X28</f>
        <v>74851035.599999994</v>
      </c>
      <c r="AC31" s="35" t="s">
        <v>73</v>
      </c>
      <c r="AD31" s="50">
        <f>AE25/AE28</f>
        <v>31550416.399999999</v>
      </c>
      <c r="AJ31" s="35" t="s">
        <v>73</v>
      </c>
      <c r="AK31" s="50">
        <f>AL25/AL28</f>
        <v>57415216.799999997</v>
      </c>
      <c r="AQ31" s="35" t="s">
        <v>73</v>
      </c>
      <c r="AR31" s="50">
        <f>AS25/AS28</f>
        <v>-10734086.9</v>
      </c>
      <c r="AX31" s="35" t="s">
        <v>73</v>
      </c>
      <c r="AY31" s="50">
        <f>AZ25/AZ28</f>
        <v>22488240.5</v>
      </c>
      <c r="BE31" s="35" t="s">
        <v>73</v>
      </c>
      <c r="BF31" s="50">
        <f>BG25/BG28</f>
        <v>-20556174.100000001</v>
      </c>
      <c r="BL31" s="35" t="s">
        <v>73</v>
      </c>
      <c r="BM31" s="50">
        <f>BN25/BN28</f>
        <v>-2633285.7999999998</v>
      </c>
      <c r="BS31" s="35" t="s">
        <v>73</v>
      </c>
      <c r="BT31" s="50">
        <f>BU25/BU28</f>
        <v>-4908372.5999999996</v>
      </c>
      <c r="BZ31" s="35" t="s">
        <v>73</v>
      </c>
      <c r="CA31" s="50">
        <f>CB25/CB28</f>
        <v>0</v>
      </c>
      <c r="CG31" s="35" t="s">
        <v>73</v>
      </c>
      <c r="CH31" s="50">
        <f>CI25/CI28</f>
        <v>3090925.8</v>
      </c>
      <c r="CN31" s="35" t="s">
        <v>73</v>
      </c>
      <c r="CO31" s="50">
        <f>CP25/CP28</f>
        <v>-18986101.899999999</v>
      </c>
      <c r="CU31" s="35" t="s">
        <v>73</v>
      </c>
      <c r="CV31" s="50">
        <f>CW25/CW28</f>
        <v>80630404.5</v>
      </c>
      <c r="DB31" s="35" t="s">
        <v>73</v>
      </c>
      <c r="DC31" s="50">
        <f>DD25/DD28</f>
        <v>747253531.20000005</v>
      </c>
      <c r="DI31" s="35" t="s">
        <v>73</v>
      </c>
      <c r="DJ31" s="50">
        <f>DK25/DK28</f>
        <v>681159273.60000002</v>
      </c>
      <c r="DP31" s="35" t="s">
        <v>73</v>
      </c>
      <c r="DQ31" s="50">
        <f>DR25/DR28</f>
        <v>4643991.2</v>
      </c>
      <c r="DW31" s="35" t="s">
        <v>73</v>
      </c>
      <c r="DX31" s="50">
        <f>DY25/DY28</f>
        <v>-54382660.799999997</v>
      </c>
      <c r="ED31" s="35" t="s">
        <v>73</v>
      </c>
      <c r="EE31" s="50">
        <f>EF25/EF28</f>
        <v>0</v>
      </c>
      <c r="EK31" s="35" t="s">
        <v>73</v>
      </c>
      <c r="EL31" s="50">
        <f>EM25/EM28</f>
        <v>1501908.6</v>
      </c>
      <c r="ER31" s="35" t="s">
        <v>73</v>
      </c>
      <c r="ES31" s="50">
        <f>ET25/ET28</f>
        <v>-1838472</v>
      </c>
      <c r="EY31" s="35" t="s">
        <v>73</v>
      </c>
      <c r="EZ31" s="50">
        <f>FA25/FA28</f>
        <v>29143000</v>
      </c>
    </row>
    <row r="33" spans="1:158" ht="18.75" x14ac:dyDescent="0.3">
      <c r="A33" s="35" t="s">
        <v>74</v>
      </c>
      <c r="B33" s="51">
        <f>+C23-(B31*B23)</f>
        <v>171368657</v>
      </c>
      <c r="H33" s="35" t="s">
        <v>74</v>
      </c>
      <c r="I33" s="51">
        <f>+J23-(I31*I23)</f>
        <v>-24846926.5</v>
      </c>
      <c r="O33" s="35" t="s">
        <v>74</v>
      </c>
      <c r="P33" s="51">
        <f>+Q23-(P31*P23)</f>
        <v>292636282.5</v>
      </c>
      <c r="V33" s="35" t="s">
        <v>74</v>
      </c>
      <c r="W33" s="51">
        <f>+X23-(W31*W23)</f>
        <v>-71552313.5</v>
      </c>
      <c r="AC33" s="35" t="s">
        <v>74</v>
      </c>
      <c r="AD33" s="51">
        <f>+AE23-(AD31*AD23)</f>
        <v>10550627.5</v>
      </c>
      <c r="AJ33" s="35" t="s">
        <v>74</v>
      </c>
      <c r="AK33" s="51">
        <f>+AL23-(AK31*AK23)</f>
        <v>-81898312.5</v>
      </c>
      <c r="AQ33" s="35" t="s">
        <v>74</v>
      </c>
      <c r="AR33" s="51">
        <f>+AS23-(AR31*AR23)</f>
        <v>239772807.5</v>
      </c>
      <c r="AX33" s="35" t="s">
        <v>74</v>
      </c>
      <c r="AY33" s="51">
        <f>+AZ23-(AY31*AY23)</f>
        <v>51553534</v>
      </c>
      <c r="BE33" s="35" t="s">
        <v>74</v>
      </c>
      <c r="BF33" s="51">
        <f>+BG23-(BF31*BF23)</f>
        <v>77822625</v>
      </c>
      <c r="BL33" s="35" t="s">
        <v>74</v>
      </c>
      <c r="BM33" s="51">
        <f>+BN23-(BM31*BM23)</f>
        <v>84109363</v>
      </c>
      <c r="BS33" s="35" t="s">
        <v>74</v>
      </c>
      <c r="BT33" s="51">
        <f>+BU23-(BT31*BT23)</f>
        <v>54696610</v>
      </c>
      <c r="BZ33" s="35" t="s">
        <v>74</v>
      </c>
      <c r="CA33" s="51">
        <f>+CB23-(CA31*CA23)</f>
        <v>340000000</v>
      </c>
      <c r="CG33" s="35" t="s">
        <v>74</v>
      </c>
      <c r="CH33" s="51">
        <f>+CI23-(CH31*CH23)</f>
        <v>-5151543</v>
      </c>
      <c r="CN33" s="35" t="s">
        <v>74</v>
      </c>
      <c r="CO33" s="51">
        <f>+CP23-(CO31*CO23)</f>
        <v>265536558.5</v>
      </c>
      <c r="CU33" s="35" t="s">
        <v>74</v>
      </c>
      <c r="CV33" s="51">
        <f>+CW23-(CV31*CV23)</f>
        <v>-117212198.5</v>
      </c>
      <c r="DB33" s="35" t="s">
        <v>74</v>
      </c>
      <c r="DC33" s="51">
        <f>+DD23-(DC31*DC23)</f>
        <v>484320955.5</v>
      </c>
      <c r="DI33" s="35" t="s">
        <v>74</v>
      </c>
      <c r="DJ33" s="51">
        <f>+DK23-(DJ31*DJ23)</f>
        <v>-884506045.5</v>
      </c>
      <c r="DP33" s="35" t="s">
        <v>74</v>
      </c>
      <c r="DQ33" s="51">
        <f>+DR23-(DQ31*DQ23)</f>
        <v>-484441.5</v>
      </c>
      <c r="DW33" s="35" t="s">
        <v>74</v>
      </c>
      <c r="DX33" s="51">
        <f>+DY23-(DX31*DX23)</f>
        <v>1559504452</v>
      </c>
      <c r="ED33" s="35" t="s">
        <v>74</v>
      </c>
      <c r="EE33" s="51">
        <f>+EF23-(EE31*EE23)</f>
        <v>0</v>
      </c>
      <c r="EK33" s="35" t="s">
        <v>74</v>
      </c>
      <c r="EL33" s="51">
        <f>+EM23-(EL31*EL23)</f>
        <v>-2477811</v>
      </c>
      <c r="ER33" s="35" t="s">
        <v>74</v>
      </c>
      <c r="ES33" s="51">
        <f>+ET23-(ES31*ES23)</f>
        <v>27941633</v>
      </c>
      <c r="EY33" s="35" t="s">
        <v>74</v>
      </c>
      <c r="EZ33" s="51">
        <f>+FA23-(EZ31*EZ23)</f>
        <v>-37116000</v>
      </c>
    </row>
    <row r="35" spans="1:158" x14ac:dyDescent="0.25">
      <c r="A35" t="s">
        <v>75</v>
      </c>
      <c r="H35" t="s">
        <v>75</v>
      </c>
      <c r="O35" t="s">
        <v>75</v>
      </c>
      <c r="V35" t="s">
        <v>75</v>
      </c>
      <c r="AC35" t="s">
        <v>75</v>
      </c>
      <c r="AJ35" t="s">
        <v>75</v>
      </c>
      <c r="AQ35" t="s">
        <v>75</v>
      </c>
      <c r="AX35" t="s">
        <v>75</v>
      </c>
      <c r="BE35" t="s">
        <v>75</v>
      </c>
      <c r="BL35" t="s">
        <v>75</v>
      </c>
      <c r="BS35" t="s">
        <v>75</v>
      </c>
      <c r="BZ35" t="s">
        <v>75</v>
      </c>
      <c r="CG35" t="s">
        <v>75</v>
      </c>
      <c r="CN35" t="s">
        <v>75</v>
      </c>
      <c r="CU35" t="s">
        <v>75</v>
      </c>
      <c r="DB35" t="s">
        <v>75</v>
      </c>
      <c r="DI35" t="s">
        <v>75</v>
      </c>
      <c r="DP35" t="s">
        <v>75</v>
      </c>
      <c r="DW35" t="s">
        <v>75</v>
      </c>
      <c r="ED35" t="s">
        <v>75</v>
      </c>
      <c r="EK35" t="s">
        <v>75</v>
      </c>
      <c r="ER35" t="s">
        <v>75</v>
      </c>
      <c r="EY35" t="s">
        <v>75</v>
      </c>
    </row>
    <row r="37" spans="1:158" x14ac:dyDescent="0.25">
      <c r="A37" s="52" t="s">
        <v>76</v>
      </c>
      <c r="B37" s="53">
        <f>+B31</f>
        <v>-21545649.199999999</v>
      </c>
      <c r="C37" s="52" t="s">
        <v>77</v>
      </c>
      <c r="D37" s="53">
        <f>+B33</f>
        <v>171368657</v>
      </c>
      <c r="H37" s="52" t="s">
        <v>76</v>
      </c>
      <c r="I37" s="53">
        <f>+I31</f>
        <v>50168225.799999997</v>
      </c>
      <c r="J37" s="52" t="s">
        <v>77</v>
      </c>
      <c r="K37" s="53">
        <f>+I33</f>
        <v>-24846926.5</v>
      </c>
      <c r="O37" s="52" t="s">
        <v>76</v>
      </c>
      <c r="P37" s="53">
        <f>+P31</f>
        <v>8754941.5</v>
      </c>
      <c r="Q37" s="52" t="s">
        <v>77</v>
      </c>
      <c r="R37" s="53">
        <f>+P33</f>
        <v>292636282.5</v>
      </c>
      <c r="V37" s="52" t="s">
        <v>76</v>
      </c>
      <c r="W37" s="53">
        <f>+W31</f>
        <v>74851035.599999994</v>
      </c>
      <c r="X37" s="52" t="s">
        <v>77</v>
      </c>
      <c r="Y37" s="53">
        <f>+W33</f>
        <v>-71552313.5</v>
      </c>
      <c r="AC37" s="52" t="s">
        <v>76</v>
      </c>
      <c r="AD37" s="53">
        <f>+AD31</f>
        <v>31550416.399999999</v>
      </c>
      <c r="AE37" s="52" t="s">
        <v>77</v>
      </c>
      <c r="AF37" s="53">
        <f>+AD33</f>
        <v>10550627.5</v>
      </c>
      <c r="AJ37" s="52" t="s">
        <v>76</v>
      </c>
      <c r="AK37" s="53">
        <f>+AK31</f>
        <v>57415216.799999997</v>
      </c>
      <c r="AL37" s="52" t="s">
        <v>77</v>
      </c>
      <c r="AM37" s="53">
        <f>+AK33</f>
        <v>-81898312.5</v>
      </c>
      <c r="AQ37" s="52" t="s">
        <v>76</v>
      </c>
      <c r="AR37" s="53">
        <f>+AR31</f>
        <v>-10734086.9</v>
      </c>
      <c r="AS37" s="52" t="s">
        <v>77</v>
      </c>
      <c r="AT37" s="53">
        <f>+AR33</f>
        <v>239772807.5</v>
      </c>
      <c r="AX37" s="52" t="s">
        <v>76</v>
      </c>
      <c r="AY37" s="53">
        <f>+AY31</f>
        <v>22488240.5</v>
      </c>
      <c r="AZ37" s="52" t="s">
        <v>77</v>
      </c>
      <c r="BA37" s="53">
        <f>+AY33</f>
        <v>51553534</v>
      </c>
      <c r="BE37" s="52" t="s">
        <v>76</v>
      </c>
      <c r="BF37" s="53">
        <f>+BF31</f>
        <v>-20556174.100000001</v>
      </c>
      <c r="BG37" s="52" t="s">
        <v>77</v>
      </c>
      <c r="BH37" s="53">
        <f>+BF33</f>
        <v>77822625</v>
      </c>
      <c r="BL37" s="52" t="s">
        <v>76</v>
      </c>
      <c r="BM37" s="53">
        <f>+BM31</f>
        <v>-2633285.7999999998</v>
      </c>
      <c r="BN37" s="52" t="s">
        <v>77</v>
      </c>
      <c r="BO37" s="53">
        <f>+BM33</f>
        <v>84109363</v>
      </c>
      <c r="BS37" s="52" t="s">
        <v>76</v>
      </c>
      <c r="BT37" s="53">
        <f>+BT31</f>
        <v>-4908372.5999999996</v>
      </c>
      <c r="BU37" s="52" t="s">
        <v>77</v>
      </c>
      <c r="BV37" s="53">
        <f>+BT33</f>
        <v>54696610</v>
      </c>
      <c r="BZ37" s="52" t="s">
        <v>76</v>
      </c>
      <c r="CA37" s="53">
        <f>+CA31</f>
        <v>0</v>
      </c>
      <c r="CB37" s="52" t="s">
        <v>77</v>
      </c>
      <c r="CC37" s="53">
        <f>+CA33</f>
        <v>340000000</v>
      </c>
      <c r="CG37" s="52" t="s">
        <v>76</v>
      </c>
      <c r="CH37" s="53">
        <f>+CH31</f>
        <v>3090925.8</v>
      </c>
      <c r="CI37" s="52" t="s">
        <v>77</v>
      </c>
      <c r="CJ37" s="53">
        <f>+CH33</f>
        <v>-5151543</v>
      </c>
      <c r="CN37" s="52" t="s">
        <v>76</v>
      </c>
      <c r="CO37" s="53">
        <f>+CO31</f>
        <v>-18986101.899999999</v>
      </c>
      <c r="CP37" s="52" t="s">
        <v>77</v>
      </c>
      <c r="CQ37" s="53">
        <f>+CO33</f>
        <v>265536558.5</v>
      </c>
      <c r="CU37" s="52" t="s">
        <v>76</v>
      </c>
      <c r="CV37" s="53">
        <f>+CV31</f>
        <v>80630404.5</v>
      </c>
      <c r="CW37" s="52" t="s">
        <v>77</v>
      </c>
      <c r="CX37" s="53">
        <f>+CV33</f>
        <v>-117212198.5</v>
      </c>
      <c r="DB37" s="52" t="s">
        <v>76</v>
      </c>
      <c r="DC37" s="53">
        <f>+DC31</f>
        <v>747253531.20000005</v>
      </c>
      <c r="DD37" s="52" t="s">
        <v>77</v>
      </c>
      <c r="DE37" s="53">
        <f>+DC33</f>
        <v>484320955.5</v>
      </c>
      <c r="DI37" s="52" t="s">
        <v>76</v>
      </c>
      <c r="DJ37" s="53">
        <f>+DJ31</f>
        <v>681159273.60000002</v>
      </c>
      <c r="DK37" s="52" t="s">
        <v>77</v>
      </c>
      <c r="DL37" s="53">
        <f>+DJ33</f>
        <v>-884506045.5</v>
      </c>
      <c r="DP37" s="52" t="s">
        <v>76</v>
      </c>
      <c r="DQ37" s="53">
        <f>+DQ31</f>
        <v>4643991.2</v>
      </c>
      <c r="DR37" s="52" t="s">
        <v>77</v>
      </c>
      <c r="DS37" s="53">
        <f>+DQ33</f>
        <v>-484441.5</v>
      </c>
      <c r="DW37" s="52" t="s">
        <v>76</v>
      </c>
      <c r="DX37" s="53">
        <f>+DX31</f>
        <v>-54382660.799999997</v>
      </c>
      <c r="DY37" s="52" t="s">
        <v>77</v>
      </c>
      <c r="DZ37" s="53">
        <f>+DX33</f>
        <v>1559504452</v>
      </c>
      <c r="ED37" s="52" t="s">
        <v>76</v>
      </c>
      <c r="EE37" s="53">
        <f>+EE31</f>
        <v>0</v>
      </c>
      <c r="EF37" s="52" t="s">
        <v>77</v>
      </c>
      <c r="EG37" s="53">
        <f>+EE33</f>
        <v>0</v>
      </c>
      <c r="EK37" s="52" t="s">
        <v>76</v>
      </c>
      <c r="EL37" s="53">
        <f>+EL31</f>
        <v>1501908.6</v>
      </c>
      <c r="EM37" s="52" t="s">
        <v>77</v>
      </c>
      <c r="EN37" s="53">
        <f>+EL33</f>
        <v>-2477811</v>
      </c>
      <c r="ER37" s="52" t="s">
        <v>76</v>
      </c>
      <c r="ES37" s="53">
        <f>+ES31</f>
        <v>-1838472</v>
      </c>
      <c r="ET37" s="52" t="s">
        <v>77</v>
      </c>
      <c r="EU37" s="53">
        <f>+ES33</f>
        <v>27941633</v>
      </c>
      <c r="EY37" s="52" t="s">
        <v>76</v>
      </c>
      <c r="EZ37" s="53">
        <f>+EZ31</f>
        <v>29143000</v>
      </c>
      <c r="FA37" s="52" t="s">
        <v>77</v>
      </c>
      <c r="FB37" s="53">
        <f>+EZ33</f>
        <v>-37116000</v>
      </c>
    </row>
    <row r="39" spans="1:158" x14ac:dyDescent="0.25">
      <c r="A39" t="s">
        <v>78</v>
      </c>
      <c r="H39" t="s">
        <v>78</v>
      </c>
      <c r="O39" t="s">
        <v>78</v>
      </c>
      <c r="V39" t="s">
        <v>78</v>
      </c>
      <c r="AC39" t="s">
        <v>78</v>
      </c>
      <c r="AJ39" t="s">
        <v>78</v>
      </c>
      <c r="AQ39" t="s">
        <v>78</v>
      </c>
      <c r="AX39" t="s">
        <v>78</v>
      </c>
      <c r="BE39" t="s">
        <v>78</v>
      </c>
      <c r="BL39" t="s">
        <v>78</v>
      </c>
      <c r="BS39" t="s">
        <v>78</v>
      </c>
      <c r="BZ39" t="s">
        <v>78</v>
      </c>
      <c r="CG39" t="s">
        <v>78</v>
      </c>
      <c r="CN39" t="s">
        <v>78</v>
      </c>
      <c r="CU39" t="s">
        <v>78</v>
      </c>
      <c r="DB39" t="s">
        <v>78</v>
      </c>
      <c r="DI39" t="s">
        <v>78</v>
      </c>
      <c r="DP39" t="s">
        <v>78</v>
      </c>
      <c r="DW39" t="s">
        <v>78</v>
      </c>
      <c r="ED39" t="s">
        <v>78</v>
      </c>
      <c r="EK39" t="s">
        <v>78</v>
      </c>
      <c r="ER39" t="s">
        <v>78</v>
      </c>
      <c r="EY39" t="s">
        <v>78</v>
      </c>
    </row>
    <row r="40" spans="1:158" x14ac:dyDescent="0.25">
      <c r="A40" s="39" t="s">
        <v>63</v>
      </c>
      <c r="B40" s="39" t="s">
        <v>66</v>
      </c>
      <c r="C40" s="39" t="s">
        <v>67</v>
      </c>
      <c r="H40" s="39" t="s">
        <v>63</v>
      </c>
      <c r="I40" s="39" t="s">
        <v>66</v>
      </c>
      <c r="J40" s="39" t="s">
        <v>67</v>
      </c>
      <c r="O40" s="39" t="s">
        <v>63</v>
      </c>
      <c r="P40" s="39" t="s">
        <v>66</v>
      </c>
      <c r="Q40" s="39" t="s">
        <v>67</v>
      </c>
      <c r="V40" s="39" t="s">
        <v>63</v>
      </c>
      <c r="W40" s="39" t="s">
        <v>66</v>
      </c>
      <c r="X40" s="39" t="s">
        <v>67</v>
      </c>
      <c r="AC40" s="39" t="s">
        <v>63</v>
      </c>
      <c r="AD40" s="39" t="s">
        <v>66</v>
      </c>
      <c r="AE40" s="39" t="s">
        <v>67</v>
      </c>
      <c r="AJ40" s="39" t="s">
        <v>63</v>
      </c>
      <c r="AK40" s="39" t="s">
        <v>66</v>
      </c>
      <c r="AL40" s="39" t="s">
        <v>67</v>
      </c>
      <c r="AQ40" s="39" t="s">
        <v>63</v>
      </c>
      <c r="AR40" s="39" t="s">
        <v>66</v>
      </c>
      <c r="AS40" s="39" t="s">
        <v>67</v>
      </c>
      <c r="AX40" s="39" t="s">
        <v>63</v>
      </c>
      <c r="AY40" s="39" t="s">
        <v>66</v>
      </c>
      <c r="AZ40" s="39" t="s">
        <v>67</v>
      </c>
      <c r="BE40" s="39" t="s">
        <v>63</v>
      </c>
      <c r="BF40" s="39" t="s">
        <v>66</v>
      </c>
      <c r="BG40" s="39" t="s">
        <v>67</v>
      </c>
      <c r="BL40" s="39" t="s">
        <v>63</v>
      </c>
      <c r="BM40" s="39" t="s">
        <v>66</v>
      </c>
      <c r="BN40" s="39" t="s">
        <v>67</v>
      </c>
      <c r="BS40" s="39" t="s">
        <v>63</v>
      </c>
      <c r="BT40" s="39" t="s">
        <v>66</v>
      </c>
      <c r="BU40" s="39" t="s">
        <v>67</v>
      </c>
      <c r="BZ40" s="39" t="s">
        <v>63</v>
      </c>
      <c r="CA40" s="39" t="s">
        <v>66</v>
      </c>
      <c r="CB40" s="39" t="s">
        <v>67</v>
      </c>
      <c r="CG40" s="39" t="s">
        <v>63</v>
      </c>
      <c r="CH40" s="39" t="s">
        <v>66</v>
      </c>
      <c r="CI40" s="39" t="s">
        <v>67</v>
      </c>
      <c r="CN40" s="39" t="s">
        <v>63</v>
      </c>
      <c r="CO40" s="39" t="s">
        <v>66</v>
      </c>
      <c r="CP40" s="39" t="s">
        <v>67</v>
      </c>
      <c r="CU40" s="39" t="s">
        <v>63</v>
      </c>
      <c r="CV40" s="39" t="s">
        <v>66</v>
      </c>
      <c r="CW40" s="39" t="s">
        <v>67</v>
      </c>
      <c r="DB40" s="39" t="s">
        <v>63</v>
      </c>
      <c r="DC40" s="39" t="s">
        <v>66</v>
      </c>
      <c r="DD40" s="39" t="s">
        <v>67</v>
      </c>
      <c r="DI40" s="39" t="s">
        <v>63</v>
      </c>
      <c r="DJ40" s="39" t="s">
        <v>66</v>
      </c>
      <c r="DK40" s="39" t="s">
        <v>67</v>
      </c>
      <c r="DP40" s="39" t="s">
        <v>63</v>
      </c>
      <c r="DQ40" s="39" t="s">
        <v>66</v>
      </c>
      <c r="DR40" s="39" t="s">
        <v>67</v>
      </c>
      <c r="DW40" s="39" t="s">
        <v>63</v>
      </c>
      <c r="DX40" s="39" t="s">
        <v>66</v>
      </c>
      <c r="DY40" s="39" t="s">
        <v>67</v>
      </c>
      <c r="ED40" s="39" t="s">
        <v>63</v>
      </c>
      <c r="EE40" s="39" t="s">
        <v>66</v>
      </c>
      <c r="EF40" s="39" t="s">
        <v>67</v>
      </c>
      <c r="EK40" s="39" t="s">
        <v>63</v>
      </c>
      <c r="EL40" s="39" t="s">
        <v>66</v>
      </c>
      <c r="EM40" s="39" t="s">
        <v>67</v>
      </c>
      <c r="ER40" s="39" t="s">
        <v>63</v>
      </c>
      <c r="ES40" s="39" t="s">
        <v>66</v>
      </c>
      <c r="ET40" s="39" t="s">
        <v>67</v>
      </c>
      <c r="EY40" s="39" t="s">
        <v>63</v>
      </c>
      <c r="EZ40" s="39" t="s">
        <v>66</v>
      </c>
      <c r="FA40" s="39" t="s">
        <v>67</v>
      </c>
    </row>
    <row r="41" spans="1:158" ht="18.75" x14ac:dyDescent="0.3">
      <c r="A41" s="54">
        <v>2021</v>
      </c>
      <c r="B41" s="54">
        <v>5</v>
      </c>
      <c r="C41" s="55">
        <f>$B$37*B41+$D$37</f>
        <v>63640411</v>
      </c>
      <c r="H41" s="54">
        <v>2021</v>
      </c>
      <c r="I41" s="54">
        <v>5</v>
      </c>
      <c r="J41" s="55">
        <f>$I$37*I41+$K$37</f>
        <v>225994202.5</v>
      </c>
      <c r="O41" s="54">
        <v>2021</v>
      </c>
      <c r="P41" s="54">
        <v>5</v>
      </c>
      <c r="Q41" s="55">
        <f>$P$37*P41+$R$37</f>
        <v>336410990</v>
      </c>
      <c r="V41">
        <v>2021</v>
      </c>
      <c r="W41">
        <v>5</v>
      </c>
      <c r="X41" s="56">
        <f>$W$37*W41+$Y$37</f>
        <v>302702864.5</v>
      </c>
      <c r="AC41">
        <v>2021</v>
      </c>
      <c r="AD41">
        <v>5</v>
      </c>
      <c r="AE41" s="56">
        <f>$AD$37*AD41+$AF$37</f>
        <v>168302709.5</v>
      </c>
      <c r="AJ41">
        <v>2021</v>
      </c>
      <c r="AK41">
        <v>5</v>
      </c>
      <c r="AL41" s="56">
        <f>$AK$37*AK41+$AM$37</f>
        <v>205177771.5</v>
      </c>
      <c r="AQ41">
        <v>2021</v>
      </c>
      <c r="AR41">
        <v>5</v>
      </c>
      <c r="AS41" s="56">
        <f>$AR$37*AR41+$AT$37</f>
        <v>186102373</v>
      </c>
      <c r="AX41">
        <v>2021</v>
      </c>
      <c r="AY41">
        <v>5</v>
      </c>
      <c r="AZ41" s="56">
        <f>$AY$37*AY41+$BA$37</f>
        <v>163994736.5</v>
      </c>
      <c r="BE41">
        <v>2021</v>
      </c>
      <c r="BF41">
        <v>5</v>
      </c>
      <c r="BG41" s="56">
        <f>$BF$37*BF41+$BH$37</f>
        <v>-24958245.5</v>
      </c>
      <c r="BL41">
        <v>2021</v>
      </c>
      <c r="BM41">
        <v>5</v>
      </c>
      <c r="BN41" s="56">
        <f>$BM$37*BM41+$BO$37</f>
        <v>70942934</v>
      </c>
      <c r="BS41">
        <v>2021</v>
      </c>
      <c r="BT41">
        <v>5</v>
      </c>
      <c r="BU41" s="56">
        <f>$BT$37*BT41+$BV$37</f>
        <v>30154747</v>
      </c>
      <c r="BZ41">
        <v>2021</v>
      </c>
      <c r="CA41">
        <v>5</v>
      </c>
      <c r="CB41" s="56">
        <f>$CA$37*CA41+$CC$37</f>
        <v>340000000</v>
      </c>
      <c r="CG41">
        <v>2021</v>
      </c>
      <c r="CH41">
        <v>5</v>
      </c>
      <c r="CI41" s="56">
        <f>$CH$37*CH41+$CJ$37</f>
        <v>10303086</v>
      </c>
      <c r="CN41">
        <v>2021</v>
      </c>
      <c r="CO41">
        <v>5</v>
      </c>
      <c r="CP41" s="56">
        <f>$CO$37*CO41+$CQ$37</f>
        <v>170606049</v>
      </c>
      <c r="CU41">
        <v>2021</v>
      </c>
      <c r="CV41">
        <v>5</v>
      </c>
      <c r="CW41" s="56">
        <f>$CV$37*CV41+$CX$37</f>
        <v>285939824</v>
      </c>
      <c r="DB41">
        <v>2021</v>
      </c>
      <c r="DC41">
        <v>5</v>
      </c>
      <c r="DD41" s="56">
        <f>$DC$37*DC41+$DE$37</f>
        <v>4220588611.5</v>
      </c>
      <c r="DI41">
        <v>2021</v>
      </c>
      <c r="DJ41">
        <v>5</v>
      </c>
      <c r="DK41" s="56">
        <f>$DJ$37*DJ41+$DL$37</f>
        <v>2521290322.5</v>
      </c>
      <c r="DP41">
        <v>2021</v>
      </c>
      <c r="DQ41">
        <v>5</v>
      </c>
      <c r="DR41" s="56">
        <f>$DQ$37*DQ41+$DS$37</f>
        <v>22735514.5</v>
      </c>
      <c r="DW41">
        <v>2021</v>
      </c>
      <c r="DX41">
        <v>5</v>
      </c>
      <c r="DY41" s="56">
        <f>$DX$37*DX41+$DZ$37</f>
        <v>1287591148</v>
      </c>
      <c r="ED41">
        <v>2021</v>
      </c>
      <c r="EE41">
        <v>5</v>
      </c>
      <c r="EF41" s="56">
        <f>$EE$37*EE41+$EG$37</f>
        <v>0</v>
      </c>
      <c r="EK41">
        <v>2021</v>
      </c>
      <c r="EL41">
        <v>5</v>
      </c>
      <c r="EM41" s="56">
        <f>$EL$37*EL41+$EN$37</f>
        <v>5031732</v>
      </c>
      <c r="ER41">
        <v>2021</v>
      </c>
      <c r="ES41">
        <v>5</v>
      </c>
      <c r="ET41" s="56">
        <f>$ES$37*ES41+$EU$37</f>
        <v>18749273</v>
      </c>
      <c r="EY41">
        <v>2021</v>
      </c>
      <c r="EZ41">
        <v>5</v>
      </c>
      <c r="FA41" s="56">
        <f>$EZ$37*EZ41+$FB$37</f>
        <v>108599000</v>
      </c>
    </row>
    <row r="42" spans="1:158" x14ac:dyDescent="0.25">
      <c r="A42">
        <v>2022</v>
      </c>
      <c r="B42">
        <v>6</v>
      </c>
      <c r="C42" s="56">
        <f>$B$37*B42+$D$37</f>
        <v>42094761.800000012</v>
      </c>
      <c r="H42">
        <v>2022</v>
      </c>
      <c r="I42">
        <v>6</v>
      </c>
      <c r="J42" s="56">
        <f>$I$37*I42+$K$37</f>
        <v>276162428.29999995</v>
      </c>
      <c r="O42">
        <v>2022</v>
      </c>
      <c r="P42">
        <v>6</v>
      </c>
      <c r="Q42" s="56">
        <f>$P$37*P42+$R$37</f>
        <v>345165931.5</v>
      </c>
      <c r="V42">
        <v>2022</v>
      </c>
      <c r="W42">
        <v>6</v>
      </c>
      <c r="X42" s="56">
        <f>$W$37*W42+$Y$37</f>
        <v>377553900.09999996</v>
      </c>
      <c r="AC42">
        <v>2022</v>
      </c>
      <c r="AD42">
        <v>6</v>
      </c>
      <c r="AE42" s="56">
        <f>$AD$37*AD42+$AF$37</f>
        <v>199853125.89999998</v>
      </c>
      <c r="AJ42">
        <v>2022</v>
      </c>
      <c r="AK42">
        <v>6</v>
      </c>
      <c r="AL42" s="56">
        <f>$AK$37*AK42+$AM$37</f>
        <v>262592988.29999995</v>
      </c>
      <c r="AQ42">
        <v>2022</v>
      </c>
      <c r="AR42">
        <v>6</v>
      </c>
      <c r="AS42" s="56">
        <f>$AR$37*AR42+$AT$37</f>
        <v>175368286.09999999</v>
      </c>
      <c r="AX42">
        <v>2022</v>
      </c>
      <c r="AY42">
        <v>6</v>
      </c>
      <c r="AZ42" s="56">
        <f>$AY$37*AY42+$BA$37</f>
        <v>186482977</v>
      </c>
      <c r="BE42">
        <v>2022</v>
      </c>
      <c r="BF42">
        <v>6</v>
      </c>
      <c r="BG42" s="56">
        <f>$BF$37*BF42+$BH$37</f>
        <v>-45514419.600000009</v>
      </c>
      <c r="BL42">
        <v>2022</v>
      </c>
      <c r="BM42">
        <v>6</v>
      </c>
      <c r="BN42" s="56">
        <f>$BM$37*BM42+$BO$37</f>
        <v>68309648.200000003</v>
      </c>
      <c r="BS42">
        <v>2022</v>
      </c>
      <c r="BT42">
        <v>6</v>
      </c>
      <c r="BU42" s="56">
        <f>$BT$37*BT42+$BV$37</f>
        <v>25246374.400000002</v>
      </c>
      <c r="BZ42">
        <v>2022</v>
      </c>
      <c r="CA42">
        <v>6</v>
      </c>
      <c r="CB42" s="56">
        <f>$CA$37*CA42+$CC$37</f>
        <v>340000000</v>
      </c>
      <c r="CG42">
        <v>2022</v>
      </c>
      <c r="CH42">
        <v>6</v>
      </c>
      <c r="CI42" s="56">
        <f>$CH$37*CH42+$CJ$37</f>
        <v>13394011.799999997</v>
      </c>
      <c r="CN42">
        <v>2022</v>
      </c>
      <c r="CO42">
        <v>6</v>
      </c>
      <c r="CP42" s="56">
        <f>$CO$37*CO42+$CQ$37</f>
        <v>151619947.10000002</v>
      </c>
      <c r="CU42">
        <v>2022</v>
      </c>
      <c r="CV42">
        <v>6</v>
      </c>
      <c r="CW42" s="56">
        <f>$CV$37*CV42+$CX$37</f>
        <v>366570228.5</v>
      </c>
      <c r="DB42">
        <v>2022</v>
      </c>
      <c r="DC42">
        <v>6</v>
      </c>
      <c r="DD42" s="56">
        <f>$DC$37*DC42+$DE$37</f>
        <v>4967842142.7000008</v>
      </c>
      <c r="DI42">
        <v>2022</v>
      </c>
      <c r="DJ42">
        <v>6</v>
      </c>
      <c r="DK42" s="56">
        <f>$DJ$37*DJ42+$DL$37</f>
        <v>3202449596.1000004</v>
      </c>
      <c r="DP42">
        <v>2022</v>
      </c>
      <c r="DQ42">
        <v>6</v>
      </c>
      <c r="DR42" s="56">
        <f>$DQ$37*DQ42+$DS$37</f>
        <v>27379505.700000003</v>
      </c>
      <c r="DW42">
        <v>2022</v>
      </c>
      <c r="DX42">
        <v>6</v>
      </c>
      <c r="DY42" s="56">
        <f>$DX$37*DX42+$DZ$37</f>
        <v>1233208487.2</v>
      </c>
      <c r="ED42">
        <v>2022</v>
      </c>
      <c r="EE42">
        <v>6</v>
      </c>
      <c r="EF42" s="56">
        <f>$EE$37*EE42+$EG$37</f>
        <v>0</v>
      </c>
      <c r="EK42">
        <v>2022</v>
      </c>
      <c r="EL42">
        <v>6</v>
      </c>
      <c r="EM42" s="56">
        <f>$EL$37*EL42+$EN$37</f>
        <v>6533640.6000000015</v>
      </c>
      <c r="ER42">
        <v>2022</v>
      </c>
      <c r="ES42">
        <v>6</v>
      </c>
      <c r="ET42" s="56">
        <f>$ES$37*ES42+$EU$37</f>
        <v>16910801</v>
      </c>
      <c r="EY42">
        <v>2022</v>
      </c>
      <c r="EZ42">
        <v>6</v>
      </c>
      <c r="FA42" s="56">
        <f>$EZ$37*EZ42+$FB$37</f>
        <v>137742000</v>
      </c>
    </row>
    <row r="43" spans="1:158" x14ac:dyDescent="0.25">
      <c r="A43">
        <v>2023</v>
      </c>
      <c r="B43">
        <v>7</v>
      </c>
      <c r="C43" s="56">
        <f>$B$37*B43+$D$37</f>
        <v>20549112.599999994</v>
      </c>
      <c r="H43">
        <v>2023</v>
      </c>
      <c r="I43">
        <v>7</v>
      </c>
      <c r="J43" s="56">
        <f>$I$37*I43+$K$37</f>
        <v>326330654.09999996</v>
      </c>
      <c r="O43">
        <v>2023</v>
      </c>
      <c r="P43">
        <v>7</v>
      </c>
      <c r="Q43" s="56">
        <f>$P$37*P43+$R$37</f>
        <v>353920873</v>
      </c>
      <c r="V43">
        <v>2023</v>
      </c>
      <c r="W43">
        <v>7</v>
      </c>
      <c r="X43" s="56">
        <f>$W$37*W43+$Y$37</f>
        <v>452404935.69999993</v>
      </c>
      <c r="AC43">
        <v>2023</v>
      </c>
      <c r="AD43">
        <v>7</v>
      </c>
      <c r="AE43" s="56">
        <f>$AD$37*AD43+$AF$37</f>
        <v>231403542.29999998</v>
      </c>
      <c r="AJ43">
        <v>2023</v>
      </c>
      <c r="AK43">
        <v>7</v>
      </c>
      <c r="AL43" s="56">
        <f>$AK$37*AK43+$AM$37</f>
        <v>320008205.09999996</v>
      </c>
      <c r="AQ43">
        <v>2023</v>
      </c>
      <c r="AR43">
        <v>7</v>
      </c>
      <c r="AS43" s="56">
        <f>$AR$37*AR43+$AT$37</f>
        <v>164634199.19999999</v>
      </c>
      <c r="AX43">
        <v>2023</v>
      </c>
      <c r="AY43">
        <v>7</v>
      </c>
      <c r="AZ43" s="56">
        <f>$AY$37*AY43+$BA$37</f>
        <v>208971217.5</v>
      </c>
      <c r="BE43">
        <v>2023</v>
      </c>
      <c r="BF43">
        <v>7</v>
      </c>
      <c r="BG43" s="56">
        <f>$BF$37*BF43+$BH$37</f>
        <v>-66070593.700000018</v>
      </c>
      <c r="BL43">
        <v>2023</v>
      </c>
      <c r="BM43">
        <v>7</v>
      </c>
      <c r="BN43" s="56">
        <f>$BM$37*BM43+$BO$37</f>
        <v>65676362.400000006</v>
      </c>
      <c r="BS43">
        <v>2023</v>
      </c>
      <c r="BT43">
        <v>7</v>
      </c>
      <c r="BU43" s="56">
        <f>$BT$37*BT43+$BV$37</f>
        <v>20338001.800000004</v>
      </c>
      <c r="BZ43">
        <v>2023</v>
      </c>
      <c r="CA43">
        <v>7</v>
      </c>
      <c r="CB43" s="56">
        <f>$CA$37*CA43+$CC$37</f>
        <v>340000000</v>
      </c>
      <c r="CG43">
        <v>2023</v>
      </c>
      <c r="CH43">
        <v>7</v>
      </c>
      <c r="CI43" s="56">
        <f>$CH$37*CH43+$CJ$37</f>
        <v>16484937.599999998</v>
      </c>
      <c r="CN43">
        <v>2023</v>
      </c>
      <c r="CO43">
        <v>7</v>
      </c>
      <c r="CP43" s="56">
        <f>$CO$37*CO43+$CQ$37</f>
        <v>132633845.20000002</v>
      </c>
      <c r="CU43">
        <v>2023</v>
      </c>
      <c r="CV43">
        <v>7</v>
      </c>
      <c r="CW43" s="56">
        <f>$CV$37*CV43+$CX$37</f>
        <v>447200633</v>
      </c>
      <c r="DB43">
        <v>2023</v>
      </c>
      <c r="DC43">
        <v>7</v>
      </c>
      <c r="DD43" s="56">
        <f>$DC$37*DC43+$DE$37</f>
        <v>5715095673.9000006</v>
      </c>
      <c r="DI43">
        <v>2023</v>
      </c>
      <c r="DJ43">
        <v>7</v>
      </c>
      <c r="DK43" s="56">
        <f>$DJ$37*DJ43+$DL$37</f>
        <v>3883608869.6999998</v>
      </c>
      <c r="DP43">
        <v>2023</v>
      </c>
      <c r="DQ43">
        <v>7</v>
      </c>
      <c r="DR43" s="56">
        <f>$DQ$37*DQ43+$DS$37</f>
        <v>32023496.900000002</v>
      </c>
      <c r="DW43">
        <v>2023</v>
      </c>
      <c r="DX43">
        <v>7</v>
      </c>
      <c r="DY43" s="56">
        <f>$DX$37*DX43+$DZ$37</f>
        <v>1178825826.4000001</v>
      </c>
      <c r="ED43">
        <v>2023</v>
      </c>
      <c r="EE43">
        <v>7</v>
      </c>
      <c r="EF43" s="56">
        <f>$EE$37*EE43+$EG$37</f>
        <v>0</v>
      </c>
      <c r="EK43">
        <v>2023</v>
      </c>
      <c r="EL43">
        <v>7</v>
      </c>
      <c r="EM43" s="56">
        <f>$EL$37*EL43+$EN$37</f>
        <v>8035549.2000000011</v>
      </c>
      <c r="ER43">
        <v>2023</v>
      </c>
      <c r="ES43">
        <v>7</v>
      </c>
      <c r="ET43" s="56">
        <f>$ES$37*ES43+$EU$37</f>
        <v>15072329</v>
      </c>
      <c r="EY43">
        <v>2023</v>
      </c>
      <c r="EZ43">
        <v>7</v>
      </c>
      <c r="FA43" s="56">
        <f>$EZ$37*EZ43+$FB$37</f>
        <v>166885000</v>
      </c>
    </row>
    <row r="44" spans="1:158" x14ac:dyDescent="0.25">
      <c r="A44">
        <v>2024</v>
      </c>
      <c r="B44">
        <v>8</v>
      </c>
      <c r="C44" s="56">
        <f>$B$37*B44+$D$37</f>
        <v>-996536.59999999404</v>
      </c>
      <c r="H44">
        <v>2024</v>
      </c>
      <c r="I44">
        <v>8</v>
      </c>
      <c r="J44" s="56">
        <f>$I$37*I44+$K$37</f>
        <v>376498879.89999998</v>
      </c>
      <c r="O44">
        <v>2024</v>
      </c>
      <c r="P44">
        <v>8</v>
      </c>
      <c r="Q44" s="56">
        <f>$P$37*P44+$R$37</f>
        <v>362675814.5</v>
      </c>
      <c r="V44">
        <v>2024</v>
      </c>
      <c r="W44">
        <v>8</v>
      </c>
      <c r="X44" s="56">
        <f>$W$37*W44+$Y$37</f>
        <v>527255971.29999995</v>
      </c>
      <c r="AC44">
        <v>2024</v>
      </c>
      <c r="AD44">
        <v>8</v>
      </c>
      <c r="AE44" s="56">
        <f>$AD$37*AD44+$AF$37</f>
        <v>262953958.69999999</v>
      </c>
      <c r="AJ44">
        <v>2024</v>
      </c>
      <c r="AK44">
        <v>8</v>
      </c>
      <c r="AL44" s="56">
        <f>$AK$37*AK44+$AM$37</f>
        <v>377423421.89999998</v>
      </c>
      <c r="AQ44">
        <v>2024</v>
      </c>
      <c r="AR44">
        <v>8</v>
      </c>
      <c r="AS44" s="56">
        <f>$AR$37*AR44+$AT$37</f>
        <v>153900112.30000001</v>
      </c>
      <c r="AX44">
        <v>2024</v>
      </c>
      <c r="AY44">
        <v>8</v>
      </c>
      <c r="AZ44" s="56">
        <f>$AY$37*AY44+$BA$37</f>
        <v>231459458</v>
      </c>
      <c r="BE44">
        <v>2024</v>
      </c>
      <c r="BF44">
        <v>8</v>
      </c>
      <c r="BG44" s="56">
        <f>$BF$37*BF44+$BH$37</f>
        <v>-86626767.800000012</v>
      </c>
      <c r="BL44">
        <v>2024</v>
      </c>
      <c r="BM44">
        <v>8</v>
      </c>
      <c r="BN44" s="56">
        <f>$BM$37*BM44+$BO$37</f>
        <v>63043076.600000001</v>
      </c>
      <c r="BS44">
        <v>2024</v>
      </c>
      <c r="BT44">
        <v>8</v>
      </c>
      <c r="BU44" s="56">
        <f>$BT$37*BT44+$BV$37</f>
        <v>15429629.200000003</v>
      </c>
      <c r="BZ44">
        <v>2024</v>
      </c>
      <c r="CA44">
        <v>8</v>
      </c>
      <c r="CB44" s="56">
        <f>$CA$37*CA44+$CC$37</f>
        <v>340000000</v>
      </c>
      <c r="CG44">
        <v>2024</v>
      </c>
      <c r="CH44">
        <v>8</v>
      </c>
      <c r="CI44" s="56">
        <f>$CH$37*CH44+$CJ$37</f>
        <v>19575863.399999999</v>
      </c>
      <c r="CN44">
        <v>2024</v>
      </c>
      <c r="CO44">
        <v>8</v>
      </c>
      <c r="CP44" s="56">
        <f>$CO$37*CO44+$CQ$37</f>
        <v>113647743.30000001</v>
      </c>
      <c r="CU44">
        <v>2024</v>
      </c>
      <c r="CV44">
        <v>8</v>
      </c>
      <c r="CW44" s="56">
        <f>$CV$37*CV44+$CX$37</f>
        <v>527831037.5</v>
      </c>
      <c r="DB44">
        <v>2024</v>
      </c>
      <c r="DC44">
        <v>8</v>
      </c>
      <c r="DD44" s="56">
        <f>$DC$37*DC44+$DE$37</f>
        <v>6462349205.1000004</v>
      </c>
      <c r="DI44">
        <v>2024</v>
      </c>
      <c r="DJ44">
        <v>8</v>
      </c>
      <c r="DK44" s="56">
        <f>$DJ$37*DJ44+$DL$37</f>
        <v>4564768143.3000002</v>
      </c>
      <c r="DP44">
        <v>2024</v>
      </c>
      <c r="DQ44">
        <v>8</v>
      </c>
      <c r="DR44" s="56">
        <f>$DQ$37*DQ44+$DS$37</f>
        <v>36667488.100000001</v>
      </c>
      <c r="DW44">
        <v>2024</v>
      </c>
      <c r="DX44">
        <v>8</v>
      </c>
      <c r="DY44" s="56">
        <f>$DX$37*DX44+$DZ$37</f>
        <v>1124443165.5999999</v>
      </c>
      <c r="ED44">
        <v>2024</v>
      </c>
      <c r="EE44">
        <v>8</v>
      </c>
      <c r="EF44" s="56">
        <f>$EE$37*EE44+$EG$37</f>
        <v>0</v>
      </c>
      <c r="EK44">
        <v>2024</v>
      </c>
      <c r="EL44">
        <v>8</v>
      </c>
      <c r="EM44" s="56">
        <f>$EL$37*EL44+$EN$37</f>
        <v>9537457.8000000007</v>
      </c>
      <c r="ER44">
        <v>2024</v>
      </c>
      <c r="ES44">
        <v>8</v>
      </c>
      <c r="ET44" s="56">
        <f>$ES$37*ES44+$EU$37</f>
        <v>13233857</v>
      </c>
      <c r="EY44">
        <v>2024</v>
      </c>
      <c r="EZ44">
        <v>8</v>
      </c>
      <c r="FA44" s="56">
        <f>$EZ$37*EZ44+$FB$37</f>
        <v>196028000</v>
      </c>
    </row>
    <row r="45" spans="1:158" x14ac:dyDescent="0.25">
      <c r="A45">
        <v>2025</v>
      </c>
      <c r="B45">
        <v>9</v>
      </c>
      <c r="C45" s="56">
        <f>$B$37*B45+$D$37</f>
        <v>-22542185.799999982</v>
      </c>
      <c r="H45">
        <v>2025</v>
      </c>
      <c r="I45">
        <v>9</v>
      </c>
      <c r="J45" s="56">
        <f>$I$37*I45+$K$37</f>
        <v>426667105.69999999</v>
      </c>
      <c r="O45">
        <v>2025</v>
      </c>
      <c r="P45">
        <v>9</v>
      </c>
      <c r="Q45" s="56">
        <f>$P$37*P45+$R$37</f>
        <v>371430756</v>
      </c>
      <c r="V45">
        <v>2025</v>
      </c>
      <c r="W45">
        <v>9</v>
      </c>
      <c r="X45" s="56">
        <f>$W$37*W45+$Y$37</f>
        <v>602107006.89999998</v>
      </c>
      <c r="AC45">
        <v>2025</v>
      </c>
      <c r="AD45">
        <v>9</v>
      </c>
      <c r="AE45" s="56">
        <f>$AD$37*AD45+$AF$37</f>
        <v>294504375.09999996</v>
      </c>
      <c r="AJ45">
        <v>2025</v>
      </c>
      <c r="AK45">
        <v>9</v>
      </c>
      <c r="AL45" s="56">
        <f>$AK$37*AK45+$AM$37</f>
        <v>434838638.69999999</v>
      </c>
      <c r="AQ45">
        <v>2025</v>
      </c>
      <c r="AR45">
        <v>9</v>
      </c>
      <c r="AS45" s="56">
        <f>$AR$37*AR45+$AT$37</f>
        <v>143166025.39999998</v>
      </c>
      <c r="AX45">
        <v>2025</v>
      </c>
      <c r="AY45">
        <v>9</v>
      </c>
      <c r="AZ45" s="56">
        <f>$AY$37*AY45+$BA$37</f>
        <v>253947698.5</v>
      </c>
      <c r="BE45">
        <v>2025</v>
      </c>
      <c r="BF45">
        <v>9</v>
      </c>
      <c r="BG45" s="56">
        <f>$BF$37*BF45+$BH$37</f>
        <v>-107182941.90000001</v>
      </c>
      <c r="BL45">
        <v>2025</v>
      </c>
      <c r="BM45">
        <v>9</v>
      </c>
      <c r="BN45" s="56">
        <f>$BM$37*BM45+$BO$37</f>
        <v>60409790.799999997</v>
      </c>
      <c r="BS45">
        <v>2025</v>
      </c>
      <c r="BT45">
        <v>9</v>
      </c>
      <c r="BU45" s="56">
        <f>$BT$37*BT45+$BV$37</f>
        <v>10521256.600000001</v>
      </c>
      <c r="BZ45">
        <v>2025</v>
      </c>
      <c r="CA45">
        <v>9</v>
      </c>
      <c r="CB45" s="56">
        <f>$CA$37*CA45+$CC$37</f>
        <v>340000000</v>
      </c>
      <c r="CG45">
        <v>2025</v>
      </c>
      <c r="CH45">
        <v>9</v>
      </c>
      <c r="CI45" s="56">
        <f>$CH$37*CH45+$CJ$37</f>
        <v>22666789.199999999</v>
      </c>
      <c r="CN45">
        <v>2025</v>
      </c>
      <c r="CO45">
        <v>9</v>
      </c>
      <c r="CP45" s="56">
        <f>$CO$37*CO45+$CQ$37</f>
        <v>94661641.400000006</v>
      </c>
      <c r="CU45">
        <v>2025</v>
      </c>
      <c r="CV45">
        <v>9</v>
      </c>
      <c r="CW45" s="56">
        <f>$CV$37*CV45+$CX$37</f>
        <v>608461442</v>
      </c>
      <c r="DB45">
        <v>2025</v>
      </c>
      <c r="DC45">
        <v>9</v>
      </c>
      <c r="DD45" s="56">
        <f>$DC$37*DC45+$DE$37</f>
        <v>7209602736.3000002</v>
      </c>
      <c r="DI45">
        <v>2025</v>
      </c>
      <c r="DJ45">
        <v>9</v>
      </c>
      <c r="DK45" s="56">
        <f>$DJ$37*DJ45+$DL$37</f>
        <v>5245927416.9000006</v>
      </c>
      <c r="DP45">
        <v>2025</v>
      </c>
      <c r="DQ45">
        <v>9</v>
      </c>
      <c r="DR45" s="56">
        <f>$DQ$37*DQ45+$DS$37</f>
        <v>41311479.300000004</v>
      </c>
      <c r="DW45">
        <v>2025</v>
      </c>
      <c r="DX45">
        <v>9</v>
      </c>
      <c r="DY45" s="56">
        <f>$DX$37*DX45+$DZ$37</f>
        <v>1070060504.8</v>
      </c>
      <c r="ED45">
        <v>2025</v>
      </c>
      <c r="EE45">
        <v>9</v>
      </c>
      <c r="EF45" s="56">
        <f>$EE$37*EE45+$EG$37</f>
        <v>0</v>
      </c>
      <c r="EK45">
        <v>2025</v>
      </c>
      <c r="EL45">
        <v>9</v>
      </c>
      <c r="EM45" s="56">
        <f>$EL$37*EL45+$EN$37</f>
        <v>11039366.4</v>
      </c>
      <c r="ER45">
        <v>2025</v>
      </c>
      <c r="ES45">
        <v>9</v>
      </c>
      <c r="ET45" s="56">
        <f>$ES$37*ES45+$EU$37</f>
        <v>11395385</v>
      </c>
      <c r="EY45">
        <v>2025</v>
      </c>
      <c r="EZ45">
        <v>9</v>
      </c>
      <c r="FA45" s="56">
        <f>$EZ$37*EZ45+$FB$37</f>
        <v>225171000</v>
      </c>
    </row>
    <row r="46" spans="1:158" x14ac:dyDescent="0.25">
      <c r="BU46" s="56"/>
      <c r="CB46" s="56"/>
      <c r="CI46" s="56"/>
      <c r="CP46" s="56"/>
      <c r="CW46" s="56"/>
      <c r="DD46" s="56"/>
      <c r="DK46" s="56"/>
      <c r="DR46" s="56"/>
      <c r="DY46" s="56"/>
      <c r="EF46" s="56"/>
      <c r="EM46" s="56"/>
      <c r="ET46" s="56"/>
      <c r="FA46" s="56"/>
    </row>
  </sheetData>
  <mergeCells count="23">
    <mergeCell ref="DW4:DY6"/>
    <mergeCell ref="ED4:EF6"/>
    <mergeCell ref="EK4:EM6"/>
    <mergeCell ref="ER4:ET6"/>
    <mergeCell ref="EY4:FA6"/>
    <mergeCell ref="DP4:DR6"/>
    <mergeCell ref="AQ4:AS6"/>
    <mergeCell ref="AX4:AZ6"/>
    <mergeCell ref="BE4:BG6"/>
    <mergeCell ref="BL4:BN6"/>
    <mergeCell ref="BS4:BU6"/>
    <mergeCell ref="BZ4:CB6"/>
    <mergeCell ref="CG4:CI6"/>
    <mergeCell ref="CN4:CP6"/>
    <mergeCell ref="CU4:CW6"/>
    <mergeCell ref="DB4:DD6"/>
    <mergeCell ref="DI4:DK6"/>
    <mergeCell ref="AJ4:AL6"/>
    <mergeCell ref="A4:C6"/>
    <mergeCell ref="H4:J6"/>
    <mergeCell ref="O4:Q6"/>
    <mergeCell ref="V4:X6"/>
    <mergeCell ref="AC4:A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
  <sheetViews>
    <sheetView showGridLines="0" zoomScale="85" zoomScaleNormal="85" workbookViewId="0"/>
  </sheetViews>
  <sheetFormatPr baseColWidth="10" defaultRowHeight="15" x14ac:dyDescent="0.25"/>
  <cols>
    <col min="1" max="1" width="51.7109375" bestFit="1" customWidth="1"/>
    <col min="2" max="2" width="3.7109375" customWidth="1"/>
    <col min="3" max="6" width="8.7109375" bestFit="1" customWidth="1"/>
    <col min="7" max="9" width="10.7109375" bestFit="1" customWidth="1"/>
    <col min="10" max="11" width="10.42578125" bestFit="1" customWidth="1"/>
  </cols>
  <sheetData>
    <row r="1" spans="1:12" x14ac:dyDescent="0.25">
      <c r="A1" s="1" t="s">
        <v>40</v>
      </c>
    </row>
    <row r="2" spans="1:12" x14ac:dyDescent="0.25">
      <c r="A2" s="1" t="s">
        <v>41</v>
      </c>
      <c r="K2" s="283"/>
    </row>
    <row r="3" spans="1:12" x14ac:dyDescent="0.25">
      <c r="A3" s="1" t="s">
        <v>1</v>
      </c>
    </row>
    <row r="4" spans="1:12" x14ac:dyDescent="0.25">
      <c r="A4" s="1"/>
    </row>
    <row r="5" spans="1:12" x14ac:dyDescent="0.25">
      <c r="A5" s="1"/>
    </row>
    <row r="6" spans="1:12" x14ac:dyDescent="0.25">
      <c r="J6" s="350"/>
      <c r="K6" s="350"/>
    </row>
    <row r="7" spans="1:12" x14ac:dyDescent="0.25">
      <c r="C7" s="351" t="s">
        <v>0</v>
      </c>
      <c r="D7" s="351"/>
      <c r="E7" s="351"/>
      <c r="F7" s="351"/>
      <c r="G7" s="351" t="s">
        <v>42</v>
      </c>
      <c r="H7" s="351"/>
      <c r="I7" s="351"/>
      <c r="J7" s="351"/>
      <c r="K7" s="351"/>
      <c r="L7" s="37"/>
    </row>
    <row r="8" spans="1:12" x14ac:dyDescent="0.25">
      <c r="C8" s="2">
        <v>2017</v>
      </c>
      <c r="D8" s="2">
        <v>2018</v>
      </c>
      <c r="E8" s="2">
        <v>2019</v>
      </c>
      <c r="F8" s="2">
        <v>2020</v>
      </c>
      <c r="G8" s="2">
        <v>2021</v>
      </c>
      <c r="H8" s="2">
        <v>2022</v>
      </c>
      <c r="I8" s="2">
        <v>2023</v>
      </c>
      <c r="J8" s="2">
        <v>2024</v>
      </c>
      <c r="K8" s="2">
        <v>2025</v>
      </c>
    </row>
    <row r="9" spans="1:12" x14ac:dyDescent="0.25">
      <c r="A9" s="1" t="s">
        <v>2</v>
      </c>
      <c r="B9" s="15"/>
      <c r="F9" s="3"/>
      <c r="G9" s="59"/>
      <c r="H9" s="59"/>
      <c r="I9" s="59"/>
      <c r="J9" s="59"/>
      <c r="K9" s="59"/>
    </row>
    <row r="10" spans="1:12" x14ac:dyDescent="0.25">
      <c r="A10" s="8" t="s">
        <v>3</v>
      </c>
      <c r="B10" s="8"/>
      <c r="C10" s="16">
        <v>123418719</v>
      </c>
      <c r="D10" s="16">
        <v>196563193</v>
      </c>
      <c r="E10" s="16">
        <v>49372907</v>
      </c>
      <c r="F10" s="16">
        <v>100663317</v>
      </c>
      <c r="G10" s="60">
        <f>+'Modelos Econometricos'!C41</f>
        <v>63640411</v>
      </c>
      <c r="H10" s="60">
        <f>+'Modelos Econometricos'!C42</f>
        <v>42094761.800000012</v>
      </c>
      <c r="I10" s="60">
        <f>+'Modelos Econometricos'!C43</f>
        <v>20549112.599999994</v>
      </c>
      <c r="J10" s="61">
        <f>+'Modelos Econometricos'!C44</f>
        <v>-996536.59999999404</v>
      </c>
      <c r="K10" s="60">
        <f>+'Modelos Econometricos'!C45</f>
        <v>-22542185.799999982</v>
      </c>
    </row>
    <row r="11" spans="1:12" x14ac:dyDescent="0.25">
      <c r="A11" s="8" t="s">
        <v>4</v>
      </c>
      <c r="B11" s="8"/>
      <c r="C11" s="16">
        <v>39123528</v>
      </c>
      <c r="D11" s="16">
        <v>81214177</v>
      </c>
      <c r="E11" s="16">
        <v>72801761</v>
      </c>
      <c r="F11" s="16">
        <v>209155086</v>
      </c>
      <c r="G11" s="60">
        <f>+'Modelos Econometricos'!J41</f>
        <v>225994202.5</v>
      </c>
      <c r="H11" s="60">
        <f>+'Modelos Econometricos'!J42</f>
        <v>276162428.29999995</v>
      </c>
      <c r="I11" s="60">
        <f>+'Modelos Econometricos'!J43</f>
        <v>326330654.09999996</v>
      </c>
      <c r="J11" s="60">
        <f>+'Modelos Econometricos'!J44</f>
        <v>376498879.89999998</v>
      </c>
      <c r="K11" s="60">
        <f>+'Modelos Econometricos'!J45</f>
        <v>426667105.69999999</v>
      </c>
    </row>
    <row r="12" spans="1:12" x14ac:dyDescent="0.25">
      <c r="A12" s="8" t="s">
        <v>6</v>
      </c>
      <c r="B12" s="8"/>
      <c r="C12" s="16">
        <v>264648969</v>
      </c>
      <c r="D12" s="16">
        <v>368327627</v>
      </c>
      <c r="E12" s="16">
        <v>312764949</v>
      </c>
      <c r="F12" s="16">
        <v>312353000</v>
      </c>
      <c r="G12" s="60">
        <f>+'Modelos Econometricos'!Q41</f>
        <v>336410990</v>
      </c>
      <c r="H12" s="60">
        <f>+'Modelos Econometricos'!Q42</f>
        <v>345165931.5</v>
      </c>
      <c r="I12" s="60">
        <f>+'Modelos Econometricos'!Q43</f>
        <v>353920873</v>
      </c>
      <c r="J12" s="61">
        <f>+'Modelos Econometricos'!Q44</f>
        <v>362675814.5</v>
      </c>
      <c r="K12" s="60">
        <f>+'Modelos Econometricos'!Q45</f>
        <v>371430756</v>
      </c>
    </row>
    <row r="13" spans="1:12" ht="15.75" thickBot="1" x14ac:dyDescent="0.3">
      <c r="A13" s="8" t="s">
        <v>8</v>
      </c>
      <c r="B13" s="8"/>
      <c r="C13" s="17">
        <v>14015294</v>
      </c>
      <c r="D13" s="17">
        <v>18698322</v>
      </c>
      <c r="E13" s="18">
        <v>239753949</v>
      </c>
      <c r="F13" s="18">
        <v>189833537</v>
      </c>
      <c r="G13" s="62">
        <f>+'Modelos Econometricos'!X41</f>
        <v>302702864.5</v>
      </c>
      <c r="H13" s="62">
        <f>+'Modelos Econometricos'!X42</f>
        <v>377553900.09999996</v>
      </c>
      <c r="I13" s="62">
        <f>+'Modelos Econometricos'!X43</f>
        <v>452404935.69999993</v>
      </c>
      <c r="J13" s="61">
        <f>+'Modelos Econometricos'!X44</f>
        <v>527255971.29999995</v>
      </c>
      <c r="K13" s="63">
        <f>+'Modelos Econometricos'!X45</f>
        <v>602107006.89999998</v>
      </c>
    </row>
    <row r="14" spans="1:12" ht="15.75" thickBot="1" x14ac:dyDescent="0.3">
      <c r="A14" s="5" t="s">
        <v>10</v>
      </c>
      <c r="B14" s="5"/>
      <c r="C14" s="11">
        <f t="shared" ref="C14:K14" si="0">SUM(C10:C13)</f>
        <v>441206510</v>
      </c>
      <c r="D14" s="11">
        <f t="shared" si="0"/>
        <v>664803319</v>
      </c>
      <c r="E14" s="11">
        <f t="shared" si="0"/>
        <v>674693566</v>
      </c>
      <c r="F14" s="11">
        <f t="shared" si="0"/>
        <v>812004940</v>
      </c>
      <c r="G14" s="64">
        <f t="shared" si="0"/>
        <v>928748468</v>
      </c>
      <c r="H14" s="64">
        <f t="shared" si="0"/>
        <v>1040977021.6999998</v>
      </c>
      <c r="I14" s="64">
        <f t="shared" si="0"/>
        <v>1153205575.3999999</v>
      </c>
      <c r="J14" s="64">
        <f t="shared" si="0"/>
        <v>1265434129.0999999</v>
      </c>
      <c r="K14" s="64">
        <f t="shared" si="0"/>
        <v>1377662682.8</v>
      </c>
    </row>
    <row r="15" spans="1:12" ht="15.75" thickTop="1" x14ac:dyDescent="0.25">
      <c r="A15" s="8" t="s">
        <v>12</v>
      </c>
      <c r="B15" s="8"/>
      <c r="C15" s="9">
        <v>69419853</v>
      </c>
      <c r="D15" s="9">
        <f>53522787+541</f>
        <v>53523328</v>
      </c>
      <c r="E15" s="9">
        <f>63501938-224</f>
        <v>63501714</v>
      </c>
      <c r="F15" s="9">
        <v>171261779</v>
      </c>
      <c r="G15" s="60">
        <f>+'Modelos Econometricos'!AE41</f>
        <v>168302709.5</v>
      </c>
      <c r="H15" s="60">
        <f>+'Modelos Econometricos'!AE42</f>
        <v>199853125.89999998</v>
      </c>
      <c r="I15" s="60">
        <f>+'Modelos Econometricos'!AE43</f>
        <v>231403542.29999998</v>
      </c>
      <c r="J15" s="61">
        <f>+'Modelos Econometricos'!AE44</f>
        <v>262953958.69999999</v>
      </c>
      <c r="K15" s="61">
        <f>+'Modelos Econometricos'!AE45</f>
        <v>294504375.09999996</v>
      </c>
    </row>
    <row r="16" spans="1:12" ht="15.75" thickBot="1" x14ac:dyDescent="0.3">
      <c r="A16" s="5" t="s">
        <v>14</v>
      </c>
      <c r="B16" s="5"/>
      <c r="C16" s="11">
        <f>+C15</f>
        <v>69419853</v>
      </c>
      <c r="D16" s="11">
        <f t="shared" ref="D16:K16" si="1">+D15</f>
        <v>53523328</v>
      </c>
      <c r="E16" s="11">
        <f t="shared" si="1"/>
        <v>63501714</v>
      </c>
      <c r="F16" s="11">
        <f t="shared" si="1"/>
        <v>171261779</v>
      </c>
      <c r="G16" s="64">
        <f t="shared" si="1"/>
        <v>168302709.5</v>
      </c>
      <c r="H16" s="64">
        <f t="shared" si="1"/>
        <v>199853125.89999998</v>
      </c>
      <c r="I16" s="64">
        <f t="shared" si="1"/>
        <v>231403542.29999998</v>
      </c>
      <c r="J16" s="64">
        <f t="shared" si="1"/>
        <v>262953958.69999999</v>
      </c>
      <c r="K16" s="64">
        <f t="shared" si="1"/>
        <v>294504375.09999996</v>
      </c>
    </row>
    <row r="17" spans="1:11" ht="16.5" thickTop="1" thickBot="1" x14ac:dyDescent="0.3">
      <c r="A17" s="19" t="s">
        <v>16</v>
      </c>
      <c r="B17" s="5"/>
      <c r="C17" s="11">
        <f>+C14+C16</f>
        <v>510626363</v>
      </c>
      <c r="D17" s="11">
        <f t="shared" ref="D17:K17" si="2">+D14+D16</f>
        <v>718326647</v>
      </c>
      <c r="E17" s="11">
        <f t="shared" si="2"/>
        <v>738195280</v>
      </c>
      <c r="F17" s="11">
        <f t="shared" si="2"/>
        <v>983266719</v>
      </c>
      <c r="G17" s="64">
        <f>+G14+G16</f>
        <v>1097051177.5</v>
      </c>
      <c r="H17" s="64">
        <f t="shared" si="2"/>
        <v>1240830147.5999999</v>
      </c>
      <c r="I17" s="64">
        <f t="shared" si="2"/>
        <v>1384609117.6999998</v>
      </c>
      <c r="J17" s="64">
        <f t="shared" si="2"/>
        <v>1528388087.8</v>
      </c>
      <c r="K17" s="64">
        <f t="shared" si="2"/>
        <v>1672167057.8999999</v>
      </c>
    </row>
    <row r="18" spans="1:11" ht="15.75" thickTop="1" x14ac:dyDescent="0.25">
      <c r="A18" s="1" t="s">
        <v>18</v>
      </c>
      <c r="B18" s="5"/>
      <c r="C18" s="9"/>
      <c r="D18" s="9"/>
      <c r="E18" s="9"/>
      <c r="F18" s="9"/>
      <c r="G18" s="60"/>
      <c r="H18" s="60"/>
      <c r="I18" s="60"/>
      <c r="J18" s="61"/>
      <c r="K18" s="61"/>
    </row>
    <row r="19" spans="1:11" x14ac:dyDescent="0.25">
      <c r="A19" s="8" t="s">
        <v>20</v>
      </c>
      <c r="B19" s="8"/>
      <c r="C19" s="20">
        <v>0</v>
      </c>
      <c r="D19" s="20">
        <v>0</v>
      </c>
      <c r="E19" s="9">
        <v>82762293</v>
      </c>
      <c r="F19" s="9">
        <v>163796625</v>
      </c>
      <c r="G19" s="60">
        <f>+'Modelos Econometricos'!AL41</f>
        <v>205177771.5</v>
      </c>
      <c r="H19" s="60">
        <f>+'Modelos Econometricos'!AL42</f>
        <v>262592988.29999995</v>
      </c>
      <c r="I19" s="60">
        <f>+'Modelos Econometricos'!AL43</f>
        <v>320008205.09999996</v>
      </c>
      <c r="J19" s="60">
        <f>+'Modelos Econometricos'!AL44</f>
        <v>377423421.89999998</v>
      </c>
      <c r="K19" s="60">
        <f>+'Modelos Econometricos'!AL45</f>
        <v>434838638.69999999</v>
      </c>
    </row>
    <row r="20" spans="1:11" x14ac:dyDescent="0.25">
      <c r="A20" s="8" t="s">
        <v>22</v>
      </c>
      <c r="B20" s="8"/>
      <c r="C20" s="9">
        <v>146347389</v>
      </c>
      <c r="D20" s="9">
        <v>322074837</v>
      </c>
      <c r="E20" s="9">
        <v>248104135</v>
      </c>
      <c r="F20" s="9">
        <v>135224000</v>
      </c>
      <c r="G20" s="60">
        <f>+'Modelos Econometricos'!AS41</f>
        <v>186102373</v>
      </c>
      <c r="H20" s="60">
        <f>+'Modelos Econometricos'!AS42</f>
        <v>175368286.09999999</v>
      </c>
      <c r="I20" s="60">
        <f>+'Modelos Econometricos'!AS43</f>
        <v>164634199.19999999</v>
      </c>
      <c r="J20" s="60">
        <f>+'Modelos Econometricos'!AS44</f>
        <v>153900112.30000001</v>
      </c>
      <c r="K20" s="60">
        <f>+'Modelos Econometricos'!AS45</f>
        <v>143166025.39999998</v>
      </c>
    </row>
    <row r="21" spans="1:11" x14ac:dyDescent="0.25">
      <c r="A21" s="8" t="s">
        <v>24</v>
      </c>
      <c r="B21" s="8"/>
      <c r="C21" s="9">
        <v>77515099</v>
      </c>
      <c r="D21" s="9">
        <v>83230267</v>
      </c>
      <c r="E21" s="9">
        <v>135197778</v>
      </c>
      <c r="F21" s="9">
        <v>135153397</v>
      </c>
      <c r="G21" s="60">
        <f>+'Modelos Econometricos'!AZ41</f>
        <v>163994736.5</v>
      </c>
      <c r="H21" s="60">
        <f>+'Modelos Econometricos'!AZ42</f>
        <v>186482977</v>
      </c>
      <c r="I21" s="60">
        <f>+'Modelos Econometricos'!AZ43</f>
        <v>208971217.5</v>
      </c>
      <c r="J21" s="60">
        <f>+'Modelos Econometricos'!AZ44</f>
        <v>231459458</v>
      </c>
      <c r="K21" s="60">
        <f>+'Modelos Econometricos'!AZ45</f>
        <v>253947698.5</v>
      </c>
    </row>
    <row r="22" spans="1:11" x14ac:dyDescent="0.25">
      <c r="A22" s="8" t="s">
        <v>43</v>
      </c>
      <c r="B22" s="8"/>
      <c r="C22" s="9">
        <v>49916491</v>
      </c>
      <c r="D22" s="9">
        <v>55812268</v>
      </c>
      <c r="E22" s="20">
        <v>0</v>
      </c>
      <c r="F22" s="20">
        <v>0</v>
      </c>
      <c r="G22" s="65">
        <f>+'Modelos Econometricos'!BG41</f>
        <v>-24958245.5</v>
      </c>
      <c r="H22" s="65">
        <f>+'Modelos Econometricos'!BG42</f>
        <v>-45514419.600000009</v>
      </c>
      <c r="I22" s="65">
        <f>+'Modelos Econometricos'!BG43</f>
        <v>-66070593.700000018</v>
      </c>
      <c r="J22" s="60">
        <f>+'Modelos Econometricos'!BG44</f>
        <v>-86626767.800000012</v>
      </c>
      <c r="K22" s="60">
        <f>+'Modelos Econometricos'!BG45</f>
        <v>-107182941.90000001</v>
      </c>
    </row>
    <row r="23" spans="1:11" x14ac:dyDescent="0.25">
      <c r="A23" s="8" t="s">
        <v>26</v>
      </c>
      <c r="B23" s="8"/>
      <c r="C23" s="9">
        <v>67795057</v>
      </c>
      <c r="D23" s="9">
        <v>116701328</v>
      </c>
      <c r="E23" s="9">
        <v>41535493</v>
      </c>
      <c r="F23" s="9">
        <v>84072716</v>
      </c>
      <c r="G23" s="60">
        <f>+'Modelos Econometricos'!BN41</f>
        <v>70942934</v>
      </c>
      <c r="H23" s="60">
        <f>+'Modelos Econometricos'!BN42</f>
        <v>68309648.200000003</v>
      </c>
      <c r="I23" s="60">
        <f>+'Modelos Econometricos'!BN43</f>
        <v>65676362.400000006</v>
      </c>
      <c r="J23" s="60">
        <f>+'Modelos Econometricos'!BN44</f>
        <v>63043076.600000001</v>
      </c>
      <c r="K23" s="60">
        <f>+'Modelos Econometricos'!BN45</f>
        <v>60409790.799999997</v>
      </c>
    </row>
    <row r="24" spans="1:11" ht="15.75" thickBot="1" x14ac:dyDescent="0.3">
      <c r="A24" s="5" t="s">
        <v>28</v>
      </c>
      <c r="B24" s="5"/>
      <c r="C24" s="11">
        <f>SUM(C19:C23)</f>
        <v>341574036</v>
      </c>
      <c r="D24" s="11">
        <f t="shared" ref="D24:K24" si="3">SUM(D19:D23)</f>
        <v>577818700</v>
      </c>
      <c r="E24" s="11">
        <f t="shared" si="3"/>
        <v>507599699</v>
      </c>
      <c r="F24" s="11">
        <f t="shared" si="3"/>
        <v>518246738</v>
      </c>
      <c r="G24" s="64">
        <f>SUM(G19:G23)</f>
        <v>601259569.5</v>
      </c>
      <c r="H24" s="64">
        <f t="shared" si="3"/>
        <v>647239480</v>
      </c>
      <c r="I24" s="64">
        <f t="shared" si="3"/>
        <v>693219390.49999988</v>
      </c>
      <c r="J24" s="64">
        <f t="shared" si="3"/>
        <v>739199301.00000012</v>
      </c>
      <c r="K24" s="64">
        <f t="shared" si="3"/>
        <v>785179211.49999988</v>
      </c>
    </row>
    <row r="25" spans="1:11" ht="15.75" thickTop="1" x14ac:dyDescent="0.25">
      <c r="A25" s="8" t="s">
        <v>30</v>
      </c>
      <c r="B25" s="8"/>
      <c r="C25" s="9">
        <v>48700000</v>
      </c>
      <c r="D25" s="9">
        <v>48329718</v>
      </c>
      <c r="E25" s="20">
        <v>36336498</v>
      </c>
      <c r="F25" s="20">
        <v>36336498</v>
      </c>
      <c r="G25" s="65">
        <f>+'Modelos Econometricos'!BU41</f>
        <v>30154747</v>
      </c>
      <c r="H25" s="65">
        <f>+'Modelos Econometricos'!BU42</f>
        <v>25246374.400000002</v>
      </c>
      <c r="I25" s="65">
        <f>+'Modelos Econometricos'!BU43</f>
        <v>20338001.800000004</v>
      </c>
      <c r="J25" s="60">
        <f>+'Modelos Econometricos'!BU44</f>
        <v>15429629.200000003</v>
      </c>
      <c r="K25" s="60">
        <f>+'Modelos Econometricos'!BU45</f>
        <v>10521256.600000001</v>
      </c>
    </row>
    <row r="26" spans="1:11" ht="15.75" thickBot="1" x14ac:dyDescent="0.3">
      <c r="A26" s="5" t="s">
        <v>32</v>
      </c>
      <c r="B26" s="5"/>
      <c r="C26" s="11">
        <f>+C25</f>
        <v>48700000</v>
      </c>
      <c r="D26" s="11">
        <f t="shared" ref="D26:J26" si="4">+D25</f>
        <v>48329718</v>
      </c>
      <c r="E26" s="11">
        <f t="shared" si="4"/>
        <v>36336498</v>
      </c>
      <c r="F26" s="11">
        <f t="shared" si="4"/>
        <v>36336498</v>
      </c>
      <c r="G26" s="64">
        <f t="shared" si="4"/>
        <v>30154747</v>
      </c>
      <c r="H26" s="64">
        <f t="shared" si="4"/>
        <v>25246374.400000002</v>
      </c>
      <c r="I26" s="64">
        <f t="shared" si="4"/>
        <v>20338001.800000004</v>
      </c>
      <c r="J26" s="64">
        <f t="shared" si="4"/>
        <v>15429629.200000003</v>
      </c>
      <c r="K26" s="64">
        <f>+K25</f>
        <v>10521256.600000001</v>
      </c>
    </row>
    <row r="27" spans="1:11" ht="16.5" thickTop="1" thickBot="1" x14ac:dyDescent="0.3">
      <c r="A27" s="19" t="s">
        <v>33</v>
      </c>
      <c r="B27" s="5"/>
      <c r="C27" s="11">
        <f>+C24+C26</f>
        <v>390274036</v>
      </c>
      <c r="D27" s="11">
        <f t="shared" ref="D27:J27" si="5">+D24+D26</f>
        <v>626148418</v>
      </c>
      <c r="E27" s="11">
        <f t="shared" si="5"/>
        <v>543936197</v>
      </c>
      <c r="F27" s="11">
        <f t="shared" si="5"/>
        <v>554583236</v>
      </c>
      <c r="G27" s="64">
        <f t="shared" si="5"/>
        <v>631414316.5</v>
      </c>
      <c r="H27" s="64">
        <f t="shared" si="5"/>
        <v>672485854.39999998</v>
      </c>
      <c r="I27" s="64">
        <f t="shared" si="5"/>
        <v>713557392.29999983</v>
      </c>
      <c r="J27" s="64">
        <f t="shared" si="5"/>
        <v>754628930.20000017</v>
      </c>
      <c r="K27" s="64">
        <f>+K24+K26</f>
        <v>795700468.0999999</v>
      </c>
    </row>
    <row r="28" spans="1:11" ht="15.75" thickTop="1" x14ac:dyDescent="0.25">
      <c r="A28" s="1" t="s">
        <v>34</v>
      </c>
      <c r="B28" s="12"/>
      <c r="C28" s="13"/>
      <c r="D28" s="13"/>
      <c r="E28" s="13"/>
      <c r="F28" s="13"/>
      <c r="G28" s="66"/>
      <c r="H28" s="66"/>
      <c r="I28" s="66"/>
      <c r="J28" s="61"/>
      <c r="K28" s="61"/>
    </row>
    <row r="29" spans="1:11" x14ac:dyDescent="0.25">
      <c r="A29" s="8" t="s">
        <v>35</v>
      </c>
      <c r="B29" s="8"/>
      <c r="C29" s="9">
        <v>340000000</v>
      </c>
      <c r="D29" s="20">
        <v>340000000</v>
      </c>
      <c r="E29" s="9">
        <v>340000000</v>
      </c>
      <c r="F29" s="9">
        <v>340000000</v>
      </c>
      <c r="G29" s="60">
        <f>+'Modelos Econometricos'!CB41</f>
        <v>340000000</v>
      </c>
      <c r="H29" s="60">
        <f>+'Modelos Econometricos'!CB42</f>
        <v>340000000</v>
      </c>
      <c r="I29" s="60">
        <f>+'Modelos Econometricos'!CB43</f>
        <v>340000000</v>
      </c>
      <c r="J29" s="60">
        <f>+'Modelos Econometricos'!CB44</f>
        <v>340000000</v>
      </c>
      <c r="K29" s="60">
        <f>+'Modelos Econometricos'!CB45</f>
        <v>340000000</v>
      </c>
    </row>
    <row r="30" spans="1:11" x14ac:dyDescent="0.25">
      <c r="A30" s="8" t="s">
        <v>36</v>
      </c>
      <c r="B30" s="8"/>
      <c r="C30" s="9"/>
      <c r="D30" s="20"/>
      <c r="E30" s="9"/>
      <c r="F30" s="9">
        <v>10303086</v>
      </c>
      <c r="G30" s="60">
        <f>+'Modelos Econometricos'!CI41</f>
        <v>10303086</v>
      </c>
      <c r="H30" s="60">
        <f>+'Modelos Econometricos'!CI42</f>
        <v>13394011.799999997</v>
      </c>
      <c r="I30" s="60">
        <f>+'Modelos Econometricos'!CI43</f>
        <v>16484937.599999998</v>
      </c>
      <c r="J30" s="60">
        <f>+'Modelos Econometricos'!CI44</f>
        <v>19575863.399999999</v>
      </c>
      <c r="K30" s="60">
        <f>+'Modelos Econometricos'!CI45</f>
        <v>22666789.199999999</v>
      </c>
    </row>
    <row r="31" spans="1:11" x14ac:dyDescent="0.25">
      <c r="A31" s="8" t="s">
        <v>37</v>
      </c>
      <c r="B31" s="8"/>
      <c r="C31" s="9">
        <v>219647673</v>
      </c>
      <c r="D31" s="20">
        <v>247821771</v>
      </c>
      <c r="E31" s="9">
        <v>248771771</v>
      </c>
      <c r="F31" s="9">
        <v>156044000</v>
      </c>
      <c r="G31" s="60">
        <f>+'Modelos Econometricos'!CP41</f>
        <v>170606049</v>
      </c>
      <c r="H31" s="60">
        <f>+'Modelos Econometricos'!CP42</f>
        <v>151619947.10000002</v>
      </c>
      <c r="I31" s="60">
        <f>+'Modelos Econometricos'!CP43</f>
        <v>132633845.20000002</v>
      </c>
      <c r="J31" s="60">
        <f>+'Modelos Econometricos'!CP44</f>
        <v>113647743.30000001</v>
      </c>
      <c r="K31" s="60">
        <f>+'Modelos Econometricos'!CP45</f>
        <v>94661641.400000006</v>
      </c>
    </row>
    <row r="32" spans="1:11" x14ac:dyDescent="0.25">
      <c r="A32" s="8" t="s">
        <v>38</v>
      </c>
      <c r="B32" s="8"/>
      <c r="C32" s="20">
        <v>0</v>
      </c>
      <c r="D32" s="20">
        <v>0</v>
      </c>
      <c r="E32" s="9">
        <v>103030854</v>
      </c>
      <c r="F32" s="9">
        <v>234424397</v>
      </c>
      <c r="G32" s="60">
        <f>+'Modelos Econometricos'!CW41</f>
        <v>285939824</v>
      </c>
      <c r="H32" s="60">
        <f>+'Modelos Econometricos'!CW42</f>
        <v>366570228.5</v>
      </c>
      <c r="I32" s="60">
        <f>+'Modelos Econometricos'!CW43</f>
        <v>447200633</v>
      </c>
      <c r="J32" s="60">
        <f>+'Modelos Econometricos'!CW44</f>
        <v>527831037.5</v>
      </c>
      <c r="K32" s="60">
        <f>+'Modelos Econometricos'!CW45</f>
        <v>608461442</v>
      </c>
    </row>
    <row r="33" spans="1:11" s="22" customFormat="1" x14ac:dyDescent="0.25">
      <c r="A33" s="19" t="s">
        <v>39</v>
      </c>
      <c r="B33" s="5"/>
      <c r="C33" s="21">
        <f t="shared" ref="C33:K33" si="6">+C29-C31+C32+C30</f>
        <v>120352327</v>
      </c>
      <c r="D33" s="21">
        <f t="shared" si="6"/>
        <v>92178229</v>
      </c>
      <c r="E33" s="21">
        <f t="shared" si="6"/>
        <v>194259083</v>
      </c>
      <c r="F33" s="21">
        <f t="shared" si="6"/>
        <v>428683483</v>
      </c>
      <c r="G33" s="67">
        <f t="shared" si="6"/>
        <v>465636861</v>
      </c>
      <c r="H33" s="67">
        <f t="shared" si="6"/>
        <v>568344293.19999993</v>
      </c>
      <c r="I33" s="67">
        <f t="shared" si="6"/>
        <v>671051725.39999998</v>
      </c>
      <c r="J33" s="67">
        <f t="shared" si="6"/>
        <v>773759157.60000002</v>
      </c>
      <c r="K33" s="67">
        <f t="shared" si="6"/>
        <v>876466589.80000007</v>
      </c>
    </row>
    <row r="34" spans="1:11" s="23" customFormat="1" x14ac:dyDescent="0.25">
      <c r="A34" s="5"/>
      <c r="B34" s="5"/>
      <c r="C34" s="13"/>
      <c r="D34" s="13"/>
      <c r="E34" s="13"/>
      <c r="F34" s="13"/>
      <c r="G34" s="66"/>
      <c r="H34" s="66"/>
      <c r="I34" s="66"/>
      <c r="J34" s="68"/>
      <c r="K34" s="68"/>
    </row>
    <row r="35" spans="1:11" ht="15.75" thickBot="1" x14ac:dyDescent="0.3">
      <c r="A35" s="24" t="s">
        <v>44</v>
      </c>
      <c r="C35" s="25">
        <f t="shared" ref="C35:K35" si="7">+C27+C33</f>
        <v>510626363</v>
      </c>
      <c r="D35" s="25">
        <f t="shared" si="7"/>
        <v>718326647</v>
      </c>
      <c r="E35" s="25">
        <f t="shared" si="7"/>
        <v>738195280</v>
      </c>
      <c r="F35" s="25">
        <f t="shared" si="7"/>
        <v>983266719</v>
      </c>
      <c r="G35" s="25">
        <f t="shared" si="7"/>
        <v>1097051177.5</v>
      </c>
      <c r="H35" s="25">
        <f t="shared" si="7"/>
        <v>1240830147.5999999</v>
      </c>
      <c r="I35" s="25">
        <f t="shared" si="7"/>
        <v>1384609117.6999998</v>
      </c>
      <c r="J35" s="25">
        <f t="shared" si="7"/>
        <v>1528388087.8000002</v>
      </c>
      <c r="K35" s="25">
        <f t="shared" si="7"/>
        <v>1672167057.9000001</v>
      </c>
    </row>
    <row r="36" spans="1:11" ht="15.75" thickTop="1" x14ac:dyDescent="0.25">
      <c r="A36" s="24" t="s">
        <v>45</v>
      </c>
      <c r="C36" s="26" t="str">
        <f>+IF(C17=C35,"OK"," MAL")</f>
        <v>OK</v>
      </c>
      <c r="D36" s="26" t="str">
        <f t="shared" ref="D36:K36" si="8">+IF(D17=D35,"OK"," MAL")</f>
        <v>OK</v>
      </c>
      <c r="E36" s="26" t="str">
        <f t="shared" si="8"/>
        <v>OK</v>
      </c>
      <c r="F36" s="26" t="str">
        <f t="shared" si="8"/>
        <v>OK</v>
      </c>
      <c r="G36" s="26" t="str">
        <f t="shared" si="8"/>
        <v>OK</v>
      </c>
      <c r="H36" s="26" t="str">
        <f t="shared" si="8"/>
        <v>OK</v>
      </c>
      <c r="I36" s="26" t="str">
        <f t="shared" si="8"/>
        <v>OK</v>
      </c>
      <c r="J36" s="26" t="str">
        <f t="shared" si="8"/>
        <v>OK</v>
      </c>
      <c r="K36" s="26" t="str">
        <f t="shared" si="8"/>
        <v>OK</v>
      </c>
    </row>
  </sheetData>
  <mergeCells count="3">
    <mergeCell ref="J6:K6"/>
    <mergeCell ref="C7:F7"/>
    <mergeCell ref="G7:K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showGridLines="0" zoomScale="85" zoomScaleNormal="85" workbookViewId="0">
      <selection activeCell="G18" sqref="G18"/>
    </sheetView>
  </sheetViews>
  <sheetFormatPr baseColWidth="10" defaultRowHeight="15" x14ac:dyDescent="0.25"/>
  <cols>
    <col min="1" max="1" width="52.140625" bestFit="1" customWidth="1"/>
    <col min="2" max="2" width="4.140625" customWidth="1"/>
    <col min="3" max="4" width="12.140625" bestFit="1" customWidth="1"/>
    <col min="5" max="5" width="14.7109375" bestFit="1" customWidth="1"/>
    <col min="6" max="6" width="12.140625" bestFit="1" customWidth="1"/>
    <col min="7" max="9" width="12.140625" customWidth="1"/>
    <col min="10" max="11" width="12.140625" bestFit="1" customWidth="1"/>
    <col min="12" max="13" width="14.140625" bestFit="1" customWidth="1"/>
  </cols>
  <sheetData>
    <row r="1" spans="1:13" x14ac:dyDescent="0.25">
      <c r="A1" s="1" t="s">
        <v>40</v>
      </c>
    </row>
    <row r="2" spans="1:13" x14ac:dyDescent="0.25">
      <c r="A2" s="1" t="s">
        <v>46</v>
      </c>
    </row>
    <row r="3" spans="1:13" x14ac:dyDescent="0.25">
      <c r="A3" s="1" t="s">
        <v>1</v>
      </c>
    </row>
    <row r="4" spans="1:13" x14ac:dyDescent="0.25">
      <c r="A4" s="1"/>
    </row>
    <row r="5" spans="1:13" x14ac:dyDescent="0.25">
      <c r="A5" s="1"/>
    </row>
    <row r="6" spans="1:13" x14ac:dyDescent="0.25">
      <c r="C6" s="27">
        <v>1</v>
      </c>
      <c r="J6" s="352"/>
      <c r="K6" s="352"/>
    </row>
    <row r="7" spans="1:13" x14ac:dyDescent="0.25">
      <c r="A7" s="4"/>
      <c r="B7" s="4"/>
      <c r="C7" s="351" t="s">
        <v>0</v>
      </c>
      <c r="D7" s="351"/>
      <c r="E7" s="351"/>
      <c r="F7" s="351"/>
      <c r="G7" s="351" t="s">
        <v>42</v>
      </c>
      <c r="H7" s="351"/>
      <c r="I7" s="351"/>
      <c r="J7" s="351"/>
      <c r="K7" s="351"/>
    </row>
    <row r="8" spans="1:13" x14ac:dyDescent="0.25">
      <c r="A8" s="4"/>
      <c r="B8" s="4"/>
      <c r="C8" s="2">
        <v>2017</v>
      </c>
      <c r="D8" s="2">
        <v>2018</v>
      </c>
      <c r="E8" s="2">
        <v>2019</v>
      </c>
      <c r="F8" s="2">
        <v>2020</v>
      </c>
      <c r="G8" s="2">
        <v>2021</v>
      </c>
      <c r="H8" s="2">
        <v>2022</v>
      </c>
      <c r="I8" s="2">
        <v>2023</v>
      </c>
      <c r="J8" s="2">
        <v>2024</v>
      </c>
      <c r="K8" s="2">
        <v>2025</v>
      </c>
    </row>
    <row r="9" spans="1:13" x14ac:dyDescent="0.25">
      <c r="A9" s="5" t="s">
        <v>5</v>
      </c>
      <c r="B9" s="5"/>
      <c r="C9" s="6"/>
      <c r="D9" s="6"/>
      <c r="E9" s="6"/>
      <c r="F9" s="6"/>
      <c r="G9" s="69"/>
      <c r="H9" s="69"/>
      <c r="I9" s="69"/>
      <c r="J9" s="69"/>
      <c r="K9" s="69"/>
    </row>
    <row r="10" spans="1:13" x14ac:dyDescent="0.25">
      <c r="A10" s="8" t="s">
        <v>7</v>
      </c>
      <c r="B10" s="8"/>
      <c r="C10" s="16">
        <v>1262392367</v>
      </c>
      <c r="D10" s="9">
        <v>1860941447</v>
      </c>
      <c r="E10" s="9">
        <v>2869401050</v>
      </c>
      <c r="F10" s="9">
        <v>3417084270</v>
      </c>
      <c r="G10" s="70">
        <f>+'Modelos Econometricos'!DD41</f>
        <v>4220588611.5</v>
      </c>
      <c r="H10" s="70">
        <f>+'Modelos Econometricos'!DD42</f>
        <v>4967842142.7000008</v>
      </c>
      <c r="I10" s="70">
        <f>+'Modelos Econometricos'!DD43</f>
        <v>5715095673.9000006</v>
      </c>
      <c r="J10" s="70">
        <f>+'Modelos Econometricos'!DD44</f>
        <v>6462349205.1000004</v>
      </c>
      <c r="K10" s="70">
        <f>+'Modelos Econometricos'!DD45</f>
        <v>7209602736.3000002</v>
      </c>
      <c r="L10" s="28"/>
      <c r="M10" s="28"/>
    </row>
    <row r="11" spans="1:13" x14ac:dyDescent="0.25">
      <c r="A11" s="8" t="s">
        <v>9</v>
      </c>
      <c r="B11" s="8"/>
      <c r="C11" s="16">
        <v>0</v>
      </c>
      <c r="D11" s="9">
        <v>0</v>
      </c>
      <c r="E11" s="9">
        <v>1504556463</v>
      </c>
      <c r="F11" s="9">
        <v>1769012091</v>
      </c>
      <c r="G11" s="70">
        <f>+'Modelos Econometricos'!DK41</f>
        <v>2521290322.5</v>
      </c>
      <c r="H11" s="70">
        <f>+'Modelos Econometricos'!DK42</f>
        <v>3202449596.1000004</v>
      </c>
      <c r="I11" s="70">
        <f>+'Modelos Econometricos'!DK43</f>
        <v>3883608869.6999998</v>
      </c>
      <c r="J11" s="70">
        <f>+'Modelos Econometricos'!DK44</f>
        <v>4564768143.3000002</v>
      </c>
      <c r="K11" s="70">
        <f>+'Modelos Econometricos'!DK45</f>
        <v>5245927416.9000006</v>
      </c>
      <c r="L11" s="28"/>
      <c r="M11" s="28"/>
    </row>
    <row r="12" spans="1:13" x14ac:dyDescent="0.25">
      <c r="A12" s="5" t="s">
        <v>11</v>
      </c>
      <c r="B12" s="5"/>
      <c r="C12" s="29">
        <f>+C10-C11</f>
        <v>1262392367</v>
      </c>
      <c r="D12" s="29">
        <f t="shared" ref="D12:K12" si="0">+D10-D11</f>
        <v>1860941447</v>
      </c>
      <c r="E12" s="29">
        <f t="shared" si="0"/>
        <v>1364844587</v>
      </c>
      <c r="F12" s="29">
        <f t="shared" si="0"/>
        <v>1648072179</v>
      </c>
      <c r="G12" s="71">
        <f>+G10-G11</f>
        <v>1699298289</v>
      </c>
      <c r="H12" s="71">
        <f t="shared" si="0"/>
        <v>1765392546.6000004</v>
      </c>
      <c r="I12" s="71">
        <f t="shared" si="0"/>
        <v>1831486804.2000008</v>
      </c>
      <c r="J12" s="71">
        <f t="shared" si="0"/>
        <v>1897581061.8000002</v>
      </c>
      <c r="K12" s="71">
        <f t="shared" si="0"/>
        <v>1963675319.3999996</v>
      </c>
      <c r="L12" s="28"/>
      <c r="M12" s="28"/>
    </row>
    <row r="13" spans="1:13" ht="15.75" thickBot="1" x14ac:dyDescent="0.3">
      <c r="A13" s="12" t="s">
        <v>47</v>
      </c>
      <c r="B13" s="5"/>
      <c r="C13" s="30">
        <f>(C12*$C$6)/C10</f>
        <v>1</v>
      </c>
      <c r="D13" s="30">
        <f t="shared" ref="D13:K13" si="1">(D12*$C$6)/D10</f>
        <v>1</v>
      </c>
      <c r="E13" s="30">
        <f t="shared" si="1"/>
        <v>0.47565487124917583</v>
      </c>
      <c r="F13" s="30">
        <f t="shared" si="1"/>
        <v>0.48230363923685149</v>
      </c>
      <c r="G13" s="72">
        <f t="shared" si="1"/>
        <v>0.40262116150573324</v>
      </c>
      <c r="H13" s="72">
        <f t="shared" si="1"/>
        <v>0.35536405865757181</v>
      </c>
      <c r="I13" s="72">
        <f t="shared" si="1"/>
        <v>0.32046476711914568</v>
      </c>
      <c r="J13" s="72">
        <f t="shared" si="1"/>
        <v>0.29363641635188242</v>
      </c>
      <c r="K13" s="72">
        <f t="shared" si="1"/>
        <v>0.2723694205109235</v>
      </c>
      <c r="L13" s="28"/>
      <c r="M13" s="28"/>
    </row>
    <row r="14" spans="1:13" ht="15.75" thickTop="1" x14ac:dyDescent="0.25">
      <c r="A14" s="8" t="s">
        <v>13</v>
      </c>
      <c r="B14" s="8"/>
      <c r="C14" s="16">
        <v>8381414</v>
      </c>
      <c r="D14" s="9">
        <v>8895908</v>
      </c>
      <c r="E14" s="9">
        <v>597205</v>
      </c>
      <c r="F14" s="9">
        <v>26627619</v>
      </c>
      <c r="G14" s="70">
        <f>+'Modelos Econometricos'!DR41</f>
        <v>22735514.5</v>
      </c>
      <c r="H14" s="70">
        <f>+'Modelos Econometricos'!DR42</f>
        <v>27379505.700000003</v>
      </c>
      <c r="I14" s="70">
        <f>+'Modelos Econometricos'!DR43</f>
        <v>32023496.900000002</v>
      </c>
      <c r="J14" s="70">
        <f>+'Modelos Econometricos'!DR44</f>
        <v>36667488.100000001</v>
      </c>
      <c r="K14" s="70">
        <f>+'Modelos Econometricos'!DR45</f>
        <v>41311479.300000004</v>
      </c>
      <c r="L14" s="28"/>
      <c r="M14" s="28"/>
    </row>
    <row r="15" spans="1:13" x14ac:dyDescent="0.25">
      <c r="A15" s="8" t="s">
        <v>15</v>
      </c>
      <c r="B15" s="8"/>
      <c r="C15" s="16">
        <v>1291765553</v>
      </c>
      <c r="D15" s="9">
        <v>1878936621</v>
      </c>
      <c r="E15" s="9">
        <v>1180030203</v>
      </c>
      <c r="F15" s="9">
        <v>1343458823</v>
      </c>
      <c r="G15" s="70">
        <f>+'Modelos Econometricos'!DY41</f>
        <v>1287591148</v>
      </c>
      <c r="H15" s="70">
        <f>+'Modelos Econometricos'!DY42</f>
        <v>1233208487.2</v>
      </c>
      <c r="I15" s="70">
        <f>+'Modelos Econometricos'!DY43</f>
        <v>1178825826.4000001</v>
      </c>
      <c r="J15" s="70">
        <f>+'Modelos Econometricos'!DY44</f>
        <v>1124443165.5999999</v>
      </c>
      <c r="K15" s="70">
        <f>+'Modelos Econometricos'!DY45</f>
        <v>1070060504.8</v>
      </c>
      <c r="L15" s="28"/>
      <c r="M15" s="28"/>
    </row>
    <row r="16" spans="1:13" ht="15.75" customHeight="1" x14ac:dyDescent="0.25">
      <c r="A16" s="8" t="s">
        <v>17</v>
      </c>
      <c r="B16" s="8"/>
      <c r="C16" s="16">
        <v>0</v>
      </c>
      <c r="D16" s="9">
        <v>0</v>
      </c>
      <c r="E16" s="9">
        <v>0</v>
      </c>
      <c r="F16" s="9">
        <v>0</v>
      </c>
      <c r="G16" s="70">
        <f>+'Modelos Econometricos'!EF41</f>
        <v>0</v>
      </c>
      <c r="H16" s="70">
        <f>+'Modelos Econometricos'!EF42</f>
        <v>0</v>
      </c>
      <c r="I16" s="70">
        <f>+'Modelos Econometricos'!EF43</f>
        <v>0</v>
      </c>
      <c r="J16" s="70">
        <f>+'Modelos Econometricos'!EF44</f>
        <v>0</v>
      </c>
      <c r="K16" s="70">
        <f>+'Modelos Econometricos'!EF45</f>
        <v>0</v>
      </c>
      <c r="L16" s="28"/>
      <c r="M16" s="28"/>
    </row>
    <row r="17" spans="1:13" ht="15.75" hidden="1" customHeight="1" x14ac:dyDescent="0.25">
      <c r="A17" s="8"/>
      <c r="B17" s="8"/>
      <c r="C17" s="16"/>
      <c r="D17" s="9"/>
      <c r="E17" s="9"/>
      <c r="F17" s="9"/>
      <c r="G17" s="70"/>
      <c r="H17" s="70"/>
      <c r="I17" s="70"/>
      <c r="J17" s="70"/>
      <c r="K17" s="70"/>
      <c r="L17" s="28"/>
      <c r="M17" s="28"/>
    </row>
    <row r="18" spans="1:13" x14ac:dyDescent="0.25">
      <c r="A18" s="5" t="s">
        <v>19</v>
      </c>
      <c r="B18" s="5"/>
      <c r="C18" s="29">
        <f>+C12+C14-C15-C16-C17</f>
        <v>-20991772</v>
      </c>
      <c r="D18" s="29">
        <f t="shared" ref="D18:K18" si="2">+D12+D14-D15-D16-D17</f>
        <v>-9099266</v>
      </c>
      <c r="E18" s="29">
        <f t="shared" si="2"/>
        <v>185411589</v>
      </c>
      <c r="F18" s="29">
        <f t="shared" si="2"/>
        <v>331240975</v>
      </c>
      <c r="G18" s="71">
        <f t="shared" si="2"/>
        <v>434442655.5</v>
      </c>
      <c r="H18" s="71">
        <f t="shared" si="2"/>
        <v>559563565.10000038</v>
      </c>
      <c r="I18" s="71">
        <f t="shared" si="2"/>
        <v>684684474.70000076</v>
      </c>
      <c r="J18" s="71">
        <f t="shared" si="2"/>
        <v>809805384.30000019</v>
      </c>
      <c r="K18" s="71">
        <f t="shared" si="2"/>
        <v>934926293.89999962</v>
      </c>
      <c r="L18" s="28"/>
      <c r="M18" s="28"/>
    </row>
    <row r="19" spans="1:13" ht="15.75" thickBot="1" x14ac:dyDescent="0.3">
      <c r="A19" s="12" t="s">
        <v>48</v>
      </c>
      <c r="B19" s="5"/>
      <c r="C19" s="31">
        <f>(C18*$C$6)/C10</f>
        <v>-1.6628563787886085E-2</v>
      </c>
      <c r="D19" s="31">
        <f t="shared" ref="D19:K19" si="3">(D18*$C$6)/D10</f>
        <v>-4.8896036007305931E-3</v>
      </c>
      <c r="E19" s="31">
        <f t="shared" si="3"/>
        <v>6.4616826218837548E-2</v>
      </c>
      <c r="F19" s="31">
        <f t="shared" si="3"/>
        <v>9.693672992150118E-2</v>
      </c>
      <c r="G19" s="73">
        <f t="shared" si="3"/>
        <v>0.10293413916633747</v>
      </c>
      <c r="H19" s="73">
        <f t="shared" si="3"/>
        <v>0.11263714687920418</v>
      </c>
      <c r="I19" s="73">
        <f t="shared" si="3"/>
        <v>0.11980280187204106</v>
      </c>
      <c r="J19" s="73">
        <f t="shared" si="3"/>
        <v>0.1253113006738962</v>
      </c>
      <c r="K19" s="73">
        <f t="shared" si="3"/>
        <v>0.12967792097513101</v>
      </c>
      <c r="L19" s="28"/>
      <c r="M19" s="28"/>
    </row>
    <row r="20" spans="1:13" ht="15.75" thickTop="1" x14ac:dyDescent="0.25">
      <c r="A20" s="8" t="s">
        <v>21</v>
      </c>
      <c r="B20" s="8"/>
      <c r="C20" s="16"/>
      <c r="D20" s="9"/>
      <c r="E20" s="9">
        <v>152220</v>
      </c>
      <c r="F20" s="9">
        <v>4955622</v>
      </c>
      <c r="G20" s="70">
        <f>+'Modelos Econometricos'!EM41</f>
        <v>5031732</v>
      </c>
      <c r="H20" s="70">
        <f>+'Modelos Econometricos'!EM42</f>
        <v>6533640.6000000015</v>
      </c>
      <c r="I20" s="70">
        <f>+'Modelos Econometricos'!EM43</f>
        <v>8035549.2000000011</v>
      </c>
      <c r="J20" s="70">
        <f>+'Modelos Econometricos'!EM44</f>
        <v>9537457.8000000007</v>
      </c>
      <c r="K20" s="70">
        <f>+'Modelos Econometricos'!EM45</f>
        <v>11039366.4</v>
      </c>
      <c r="L20" s="28"/>
      <c r="M20" s="28"/>
    </row>
    <row r="21" spans="1:13" x14ac:dyDescent="0.25">
      <c r="A21" s="8" t="s">
        <v>23</v>
      </c>
      <c r="B21" s="8"/>
      <c r="C21" s="16">
        <v>29325811</v>
      </c>
      <c r="D21" s="9">
        <v>19271845</v>
      </c>
      <c r="E21" s="9">
        <v>22743955</v>
      </c>
      <c r="F21" s="9">
        <v>22040201</v>
      </c>
      <c r="G21" s="70">
        <f>+'Modelos Econometricos'!ET41</f>
        <v>18749273</v>
      </c>
      <c r="H21" s="70">
        <f>+'Modelos Econometricos'!ET42</f>
        <v>16910801</v>
      </c>
      <c r="I21" s="70">
        <f>+'Modelos Econometricos'!ET43</f>
        <v>15072329</v>
      </c>
      <c r="J21" s="70">
        <f>+'Modelos Econometricos'!ET44</f>
        <v>13233857</v>
      </c>
      <c r="K21" s="70">
        <f>+'Modelos Econometricos'!ET45</f>
        <v>11395385</v>
      </c>
      <c r="L21" s="28"/>
      <c r="M21" s="28"/>
    </row>
    <row r="22" spans="1:13" ht="15.75" thickBot="1" x14ac:dyDescent="0.3">
      <c r="A22" s="12" t="s">
        <v>25</v>
      </c>
      <c r="B22" s="12"/>
      <c r="C22" s="10">
        <f>+C18+C20-C21</f>
        <v>-50317583</v>
      </c>
      <c r="D22" s="10">
        <f t="shared" ref="D22:J22" si="4">+D18+D20-D21</f>
        <v>-28371111</v>
      </c>
      <c r="E22" s="10">
        <f t="shared" si="4"/>
        <v>162819854</v>
      </c>
      <c r="F22" s="10">
        <f t="shared" si="4"/>
        <v>314156396</v>
      </c>
      <c r="G22" s="74">
        <f t="shared" si="4"/>
        <v>420725114.5</v>
      </c>
      <c r="H22" s="74">
        <f t="shared" si="4"/>
        <v>549186404.70000041</v>
      </c>
      <c r="I22" s="74">
        <f t="shared" si="4"/>
        <v>677647694.90000081</v>
      </c>
      <c r="J22" s="74">
        <f t="shared" si="4"/>
        <v>806108985.10000014</v>
      </c>
      <c r="K22" s="74">
        <f>+K18+K20-K21</f>
        <v>934570275.29999959</v>
      </c>
      <c r="L22" s="28"/>
      <c r="M22" s="28"/>
    </row>
    <row r="23" spans="1:13" ht="15.75" thickTop="1" x14ac:dyDescent="0.25">
      <c r="A23" s="8" t="s">
        <v>27</v>
      </c>
      <c r="B23" s="8"/>
      <c r="C23" s="16">
        <v>2055000</v>
      </c>
      <c r="D23" s="9">
        <v>1390000</v>
      </c>
      <c r="E23" s="9">
        <v>59789000</v>
      </c>
      <c r="F23" s="9">
        <v>79732000</v>
      </c>
      <c r="G23" s="70">
        <f>+'Modelos Econometricos'!FA41</f>
        <v>108599000</v>
      </c>
      <c r="H23" s="70">
        <f>+'Modelos Econometricos'!FA42</f>
        <v>137742000</v>
      </c>
      <c r="I23" s="70">
        <f>+'Modelos Econometricos'!FA43</f>
        <v>166885000</v>
      </c>
      <c r="J23" s="70">
        <f>+'Modelos Econometricos'!FA44</f>
        <v>196028000</v>
      </c>
      <c r="K23" s="70">
        <f>+'Modelos Econometricos'!FA45</f>
        <v>225171000</v>
      </c>
      <c r="L23" s="28"/>
      <c r="M23" s="28"/>
    </row>
    <row r="24" spans="1:13" ht="15.75" thickBot="1" x14ac:dyDescent="0.3">
      <c r="A24" s="5" t="s">
        <v>29</v>
      </c>
      <c r="B24" s="5"/>
      <c r="C24" s="14">
        <f>C22-C23</f>
        <v>-52372583</v>
      </c>
      <c r="D24" s="14">
        <f t="shared" ref="D24:K24" si="5">D22-D23</f>
        <v>-29761111</v>
      </c>
      <c r="E24" s="14">
        <f t="shared" si="5"/>
        <v>103030854</v>
      </c>
      <c r="F24" s="14">
        <f t="shared" si="5"/>
        <v>234424396</v>
      </c>
      <c r="G24" s="75">
        <f t="shared" si="5"/>
        <v>312126114.5</v>
      </c>
      <c r="H24" s="75">
        <f t="shared" si="5"/>
        <v>411444404.70000041</v>
      </c>
      <c r="I24" s="75">
        <f t="shared" si="5"/>
        <v>510762694.90000081</v>
      </c>
      <c r="J24" s="75">
        <f t="shared" si="5"/>
        <v>610080985.10000014</v>
      </c>
      <c r="K24" s="75">
        <f t="shared" si="5"/>
        <v>709399275.29999959</v>
      </c>
      <c r="L24" s="28"/>
      <c r="M24" s="28"/>
    </row>
    <row r="25" spans="1:13" ht="16.5" thickTop="1" thickBot="1" x14ac:dyDescent="0.3">
      <c r="A25" s="5" t="s">
        <v>31</v>
      </c>
      <c r="B25" s="5"/>
      <c r="C25" s="10">
        <f>+C24</f>
        <v>-52372583</v>
      </c>
      <c r="D25" s="10">
        <f t="shared" ref="D25:K25" si="6">+D24</f>
        <v>-29761111</v>
      </c>
      <c r="E25" s="10">
        <f t="shared" si="6"/>
        <v>103030854</v>
      </c>
      <c r="F25" s="10">
        <f t="shared" si="6"/>
        <v>234424396</v>
      </c>
      <c r="G25" s="74">
        <f t="shared" si="6"/>
        <v>312126114.5</v>
      </c>
      <c r="H25" s="74">
        <f t="shared" si="6"/>
        <v>411444404.70000041</v>
      </c>
      <c r="I25" s="74">
        <f t="shared" si="6"/>
        <v>510762694.90000081</v>
      </c>
      <c r="J25" s="74">
        <f t="shared" si="6"/>
        <v>610080985.10000014</v>
      </c>
      <c r="K25" s="74">
        <f t="shared" si="6"/>
        <v>709399275.29999959</v>
      </c>
      <c r="L25" s="28"/>
      <c r="M25" s="28"/>
    </row>
    <row r="26" spans="1:13" ht="15.75" thickTop="1" x14ac:dyDescent="0.25">
      <c r="A26" s="8" t="s">
        <v>49</v>
      </c>
      <c r="B26" s="8"/>
      <c r="C26" s="16">
        <v>167275090</v>
      </c>
      <c r="D26" s="16">
        <v>219647673</v>
      </c>
      <c r="E26" s="16">
        <f t="shared" ref="E26:K26" si="7">+E24</f>
        <v>103030854</v>
      </c>
      <c r="F26" s="16">
        <f t="shared" si="7"/>
        <v>234424396</v>
      </c>
      <c r="G26" s="70">
        <f t="shared" si="7"/>
        <v>312126114.5</v>
      </c>
      <c r="H26" s="70">
        <f t="shared" si="7"/>
        <v>411444404.70000041</v>
      </c>
      <c r="I26" s="70">
        <f t="shared" si="7"/>
        <v>510762694.90000081</v>
      </c>
      <c r="J26" s="70">
        <f t="shared" si="7"/>
        <v>610080985.10000014</v>
      </c>
      <c r="K26" s="70">
        <f t="shared" si="7"/>
        <v>709399275.29999959</v>
      </c>
      <c r="L26" s="28"/>
      <c r="M26" s="28"/>
    </row>
    <row r="27" spans="1:13" x14ac:dyDescent="0.25">
      <c r="A27" s="8" t="s">
        <v>50</v>
      </c>
      <c r="B27" s="8"/>
      <c r="C27" s="16">
        <v>0</v>
      </c>
      <c r="D27" s="16">
        <v>0</v>
      </c>
      <c r="E27" s="16">
        <v>0</v>
      </c>
      <c r="F27" s="16">
        <v>0</v>
      </c>
      <c r="G27" s="70"/>
      <c r="H27" s="70"/>
      <c r="I27" s="70"/>
      <c r="J27" s="70">
        <f>+'[1]CAVCA anual'!AN57</f>
        <v>0</v>
      </c>
      <c r="K27" s="70">
        <f>+'[1]CAVCA anual'!AO57</f>
        <v>0</v>
      </c>
      <c r="L27" s="28"/>
      <c r="M27" s="28"/>
    </row>
    <row r="28" spans="1:13" ht="15.75" thickBot="1" x14ac:dyDescent="0.3">
      <c r="A28" s="5" t="s">
        <v>51</v>
      </c>
      <c r="B28" s="5"/>
      <c r="C28" s="10">
        <f>+C25-C26-C27</f>
        <v>-219647673</v>
      </c>
      <c r="D28" s="10">
        <f t="shared" ref="D28:K28" si="8">+D25-D26-D27</f>
        <v>-249408784</v>
      </c>
      <c r="E28" s="10">
        <f t="shared" si="8"/>
        <v>0</v>
      </c>
      <c r="F28" s="10">
        <f t="shared" si="8"/>
        <v>0</v>
      </c>
      <c r="G28" s="74">
        <f t="shared" si="8"/>
        <v>0</v>
      </c>
      <c r="H28" s="74">
        <f t="shared" si="8"/>
        <v>0</v>
      </c>
      <c r="I28" s="74">
        <f t="shared" si="8"/>
        <v>0</v>
      </c>
      <c r="J28" s="74">
        <f t="shared" si="8"/>
        <v>0</v>
      </c>
      <c r="K28" s="74">
        <f t="shared" si="8"/>
        <v>0</v>
      </c>
      <c r="L28" s="28"/>
      <c r="M28" s="28"/>
    </row>
    <row r="29" spans="1:13" ht="15.75" thickTop="1" x14ac:dyDescent="0.25">
      <c r="A29" s="4"/>
      <c r="B29" s="4"/>
      <c r="C29" s="4"/>
      <c r="D29" s="4"/>
      <c r="E29" s="4"/>
      <c r="F29" s="4"/>
      <c r="G29" s="4"/>
      <c r="H29" s="4"/>
      <c r="I29" s="4"/>
    </row>
    <row r="30" spans="1:13" ht="15.75" thickBot="1" x14ac:dyDescent="0.3">
      <c r="B30" s="4"/>
      <c r="C30" s="4"/>
      <c r="D30" s="4"/>
      <c r="E30" s="4"/>
      <c r="F30" s="4"/>
      <c r="G30" s="351" t="s">
        <v>42</v>
      </c>
      <c r="H30" s="351"/>
      <c r="I30" s="351"/>
      <c r="J30" s="351"/>
      <c r="K30" s="351"/>
    </row>
    <row r="31" spans="1:13" ht="19.5" thickBot="1" x14ac:dyDescent="0.35">
      <c r="A31" s="32" t="s">
        <v>52</v>
      </c>
      <c r="B31" s="33"/>
      <c r="C31" s="34">
        <v>2017</v>
      </c>
      <c r="D31" s="34">
        <v>2018</v>
      </c>
      <c r="E31" s="34">
        <v>2019</v>
      </c>
      <c r="F31" s="34">
        <v>2020</v>
      </c>
      <c r="G31" s="76">
        <v>2021</v>
      </c>
      <c r="H31" s="34">
        <v>2022</v>
      </c>
      <c r="I31" s="34">
        <v>2023</v>
      </c>
      <c r="J31" s="34">
        <v>2024</v>
      </c>
      <c r="K31" s="77">
        <v>2025</v>
      </c>
    </row>
    <row r="32" spans="1:13" x14ac:dyDescent="0.25">
      <c r="A32" s="78" t="s">
        <v>7</v>
      </c>
      <c r="B32" s="79"/>
      <c r="C32" s="80">
        <f>+C10</f>
        <v>1262392367</v>
      </c>
      <c r="D32" s="80">
        <f t="shared" ref="D32:K32" si="9">+D10</f>
        <v>1860941447</v>
      </c>
      <c r="E32" s="80">
        <f t="shared" si="9"/>
        <v>2869401050</v>
      </c>
      <c r="F32" s="80">
        <f t="shared" si="9"/>
        <v>3417084270</v>
      </c>
      <c r="G32" s="80">
        <f t="shared" si="9"/>
        <v>4220588611.5</v>
      </c>
      <c r="H32" s="80">
        <f t="shared" si="9"/>
        <v>4967842142.7000008</v>
      </c>
      <c r="I32" s="80">
        <f t="shared" si="9"/>
        <v>5715095673.9000006</v>
      </c>
      <c r="J32" s="80">
        <f t="shared" si="9"/>
        <v>6462349205.1000004</v>
      </c>
      <c r="K32" s="81">
        <f t="shared" si="9"/>
        <v>7209602736.3000002</v>
      </c>
    </row>
    <row r="33" spans="1:11" x14ac:dyDescent="0.25">
      <c r="A33" s="7" t="s">
        <v>9</v>
      </c>
      <c r="B33" s="82"/>
      <c r="C33" s="83">
        <f t="shared" ref="C33:K33" si="10">+C11</f>
        <v>0</v>
      </c>
      <c r="D33" s="83">
        <f t="shared" si="10"/>
        <v>0</v>
      </c>
      <c r="E33" s="83">
        <f t="shared" si="10"/>
        <v>1504556463</v>
      </c>
      <c r="F33" s="83">
        <f t="shared" si="10"/>
        <v>1769012091</v>
      </c>
      <c r="G33" s="83">
        <f t="shared" si="10"/>
        <v>2521290322.5</v>
      </c>
      <c r="H33" s="83">
        <f t="shared" si="10"/>
        <v>3202449596.1000004</v>
      </c>
      <c r="I33" s="83">
        <f t="shared" si="10"/>
        <v>3883608869.6999998</v>
      </c>
      <c r="J33" s="83">
        <f t="shared" si="10"/>
        <v>4564768143.3000002</v>
      </c>
      <c r="K33" s="84">
        <f t="shared" si="10"/>
        <v>5245927416.9000006</v>
      </c>
    </row>
    <row r="34" spans="1:11" x14ac:dyDescent="0.25">
      <c r="A34" s="85" t="s">
        <v>53</v>
      </c>
      <c r="B34" s="86"/>
      <c r="C34" s="87">
        <f t="shared" ref="C34:K34" si="11">C32-C33</f>
        <v>1262392367</v>
      </c>
      <c r="D34" s="87">
        <f t="shared" si="11"/>
        <v>1860941447</v>
      </c>
      <c r="E34" s="87">
        <f t="shared" si="11"/>
        <v>1364844587</v>
      </c>
      <c r="F34" s="87">
        <f t="shared" si="11"/>
        <v>1648072179</v>
      </c>
      <c r="G34" s="87">
        <f t="shared" si="11"/>
        <v>1699298289</v>
      </c>
      <c r="H34" s="87">
        <f t="shared" si="11"/>
        <v>1765392546.6000004</v>
      </c>
      <c r="I34" s="87">
        <f t="shared" si="11"/>
        <v>1831486804.2000008</v>
      </c>
      <c r="J34" s="87">
        <f t="shared" si="11"/>
        <v>1897581061.8000002</v>
      </c>
      <c r="K34" s="88">
        <f t="shared" si="11"/>
        <v>1963675319.3999996</v>
      </c>
    </row>
    <row r="35" spans="1:11" x14ac:dyDescent="0.25">
      <c r="A35" s="85" t="s">
        <v>54</v>
      </c>
      <c r="B35" s="86"/>
      <c r="C35" s="89">
        <f t="shared" ref="C35:K35" si="12">C34/C32</f>
        <v>1</v>
      </c>
      <c r="D35" s="89">
        <f t="shared" si="12"/>
        <v>1</v>
      </c>
      <c r="E35" s="89">
        <f t="shared" si="12"/>
        <v>0.47565487124917583</v>
      </c>
      <c r="F35" s="89">
        <f t="shared" si="12"/>
        <v>0.48230363923685149</v>
      </c>
      <c r="G35" s="89">
        <f t="shared" si="12"/>
        <v>0.40262116150573324</v>
      </c>
      <c r="H35" s="89">
        <f t="shared" si="12"/>
        <v>0.35536405865757181</v>
      </c>
      <c r="I35" s="89">
        <f t="shared" si="12"/>
        <v>0.32046476711914568</v>
      </c>
      <c r="J35" s="89">
        <f t="shared" si="12"/>
        <v>0.29363641635188242</v>
      </c>
      <c r="K35" s="90">
        <f t="shared" si="12"/>
        <v>0.2723694205109235</v>
      </c>
    </row>
    <row r="36" spans="1:11" x14ac:dyDescent="0.25">
      <c r="A36" s="7" t="s">
        <v>55</v>
      </c>
      <c r="B36" s="82"/>
      <c r="C36" s="83">
        <f>+C15</f>
        <v>1291765553</v>
      </c>
      <c r="D36" s="83">
        <f t="shared" ref="D36:K36" si="13">+D15</f>
        <v>1878936621</v>
      </c>
      <c r="E36" s="83">
        <f t="shared" si="13"/>
        <v>1180030203</v>
      </c>
      <c r="F36" s="83">
        <f t="shared" si="13"/>
        <v>1343458823</v>
      </c>
      <c r="G36" s="83">
        <f t="shared" si="13"/>
        <v>1287591148</v>
      </c>
      <c r="H36" s="83">
        <f t="shared" si="13"/>
        <v>1233208487.2</v>
      </c>
      <c r="I36" s="83">
        <f t="shared" si="13"/>
        <v>1178825826.4000001</v>
      </c>
      <c r="J36" s="83">
        <f t="shared" si="13"/>
        <v>1124443165.5999999</v>
      </c>
      <c r="K36" s="84">
        <f t="shared" si="13"/>
        <v>1070060504.8</v>
      </c>
    </row>
    <row r="37" spans="1:11" x14ac:dyDescent="0.25">
      <c r="A37" s="85" t="s">
        <v>56</v>
      </c>
      <c r="B37" s="86"/>
      <c r="C37" s="87">
        <f>C34-C36</f>
        <v>-29373186</v>
      </c>
      <c r="D37" s="87">
        <f t="shared" ref="D37:K37" si="14">D34-D36</f>
        <v>-17995174</v>
      </c>
      <c r="E37" s="87">
        <f t="shared" si="14"/>
        <v>184814384</v>
      </c>
      <c r="F37" s="87">
        <f t="shared" si="14"/>
        <v>304613356</v>
      </c>
      <c r="G37" s="87">
        <f t="shared" si="14"/>
        <v>411707141</v>
      </c>
      <c r="H37" s="87">
        <f t="shared" si="14"/>
        <v>532184059.40000033</v>
      </c>
      <c r="I37" s="87">
        <f t="shared" si="14"/>
        <v>652660977.80000067</v>
      </c>
      <c r="J37" s="87">
        <f t="shared" si="14"/>
        <v>773137896.20000029</v>
      </c>
      <c r="K37" s="88">
        <f t="shared" si="14"/>
        <v>893614814.59999967</v>
      </c>
    </row>
    <row r="38" spans="1:11" x14ac:dyDescent="0.25">
      <c r="A38" s="85" t="s">
        <v>57</v>
      </c>
      <c r="B38" s="86"/>
      <c r="C38" s="89">
        <f>C37/C32</f>
        <v>-2.3267873577058788E-2</v>
      </c>
      <c r="D38" s="89">
        <f t="shared" ref="D38:K38" si="15">D37/D32</f>
        <v>-9.6699302543934371E-3</v>
      </c>
      <c r="E38" s="89">
        <f t="shared" si="15"/>
        <v>6.4408697417880995E-2</v>
      </c>
      <c r="F38" s="89">
        <f t="shared" si="15"/>
        <v>8.9144232898886039E-2</v>
      </c>
      <c r="G38" s="89">
        <f t="shared" si="15"/>
        <v>9.7547327848586274E-2</v>
      </c>
      <c r="H38" s="89">
        <f t="shared" si="15"/>
        <v>0.10712579911219977</v>
      </c>
      <c r="I38" s="89">
        <f t="shared" si="15"/>
        <v>0.11419948414522738</v>
      </c>
      <c r="J38" s="89">
        <f t="shared" si="15"/>
        <v>0.11963728230437472</v>
      </c>
      <c r="K38" s="90">
        <f t="shared" si="15"/>
        <v>0.12394785777872232</v>
      </c>
    </row>
    <row r="39" spans="1:11" x14ac:dyDescent="0.25">
      <c r="A39" s="7" t="str">
        <f>+A14</f>
        <v>(+) OTROS INGRESOS</v>
      </c>
      <c r="B39" s="91"/>
      <c r="C39" s="83">
        <f>+C14</f>
        <v>8381414</v>
      </c>
      <c r="D39" s="83">
        <f t="shared" ref="D39:K39" si="16">+D14</f>
        <v>8895908</v>
      </c>
      <c r="E39" s="83">
        <f t="shared" si="16"/>
        <v>597205</v>
      </c>
      <c r="F39" s="83">
        <f t="shared" si="16"/>
        <v>26627619</v>
      </c>
      <c r="G39" s="83">
        <f t="shared" si="16"/>
        <v>22735514.5</v>
      </c>
      <c r="H39" s="83">
        <f t="shared" si="16"/>
        <v>27379505.700000003</v>
      </c>
      <c r="I39" s="83">
        <f t="shared" si="16"/>
        <v>32023496.900000002</v>
      </c>
      <c r="J39" s="83">
        <f t="shared" si="16"/>
        <v>36667488.100000001</v>
      </c>
      <c r="K39" s="84">
        <f t="shared" si="16"/>
        <v>41311479.300000004</v>
      </c>
    </row>
    <row r="40" spans="1:11" x14ac:dyDescent="0.25">
      <c r="A40" s="7" t="str">
        <f>+A16</f>
        <v>(-) OTROS GASTOS</v>
      </c>
      <c r="B40" s="91"/>
      <c r="C40" s="83">
        <f>+C16</f>
        <v>0</v>
      </c>
      <c r="D40" s="83">
        <f t="shared" ref="D40:K40" si="17">+D16</f>
        <v>0</v>
      </c>
      <c r="E40" s="83">
        <f t="shared" si="17"/>
        <v>0</v>
      </c>
      <c r="F40" s="83">
        <f t="shared" si="17"/>
        <v>0</v>
      </c>
      <c r="G40" s="83">
        <f t="shared" si="17"/>
        <v>0</v>
      </c>
      <c r="H40" s="83">
        <f t="shared" si="17"/>
        <v>0</v>
      </c>
      <c r="I40" s="83">
        <f t="shared" si="17"/>
        <v>0</v>
      </c>
      <c r="J40" s="83">
        <f t="shared" si="17"/>
        <v>0</v>
      </c>
      <c r="K40" s="84">
        <f t="shared" si="17"/>
        <v>0</v>
      </c>
    </row>
    <row r="41" spans="1:11" x14ac:dyDescent="0.25">
      <c r="A41" s="7" t="str">
        <f>+A20</f>
        <v xml:space="preserve">INGRESOS FINANCIEROS </v>
      </c>
      <c r="B41" s="91"/>
      <c r="C41" s="83">
        <f>+C20</f>
        <v>0</v>
      </c>
      <c r="D41" s="83">
        <f t="shared" ref="D41:K41" si="18">+D20</f>
        <v>0</v>
      </c>
      <c r="E41" s="83">
        <f t="shared" si="18"/>
        <v>152220</v>
      </c>
      <c r="F41" s="83">
        <f t="shared" si="18"/>
        <v>4955622</v>
      </c>
      <c r="G41" s="83">
        <f t="shared" si="18"/>
        <v>5031732</v>
      </c>
      <c r="H41" s="83">
        <f t="shared" si="18"/>
        <v>6533640.6000000015</v>
      </c>
      <c r="I41" s="83">
        <f t="shared" si="18"/>
        <v>8035549.2000000011</v>
      </c>
      <c r="J41" s="83">
        <f t="shared" si="18"/>
        <v>9537457.8000000007</v>
      </c>
      <c r="K41" s="84">
        <f t="shared" si="18"/>
        <v>11039366.4</v>
      </c>
    </row>
    <row r="42" spans="1:11" x14ac:dyDescent="0.25">
      <c r="A42" s="7" t="str">
        <f>+A21</f>
        <v xml:space="preserve">GASTOS FINANCIEROS </v>
      </c>
      <c r="B42" s="91"/>
      <c r="C42" s="83">
        <f>+C21</f>
        <v>29325811</v>
      </c>
      <c r="D42" s="83">
        <f t="shared" ref="D42:K42" si="19">+D21</f>
        <v>19271845</v>
      </c>
      <c r="E42" s="83">
        <f t="shared" si="19"/>
        <v>22743955</v>
      </c>
      <c r="F42" s="83">
        <f t="shared" si="19"/>
        <v>22040201</v>
      </c>
      <c r="G42" s="83">
        <f t="shared" si="19"/>
        <v>18749273</v>
      </c>
      <c r="H42" s="83">
        <f t="shared" si="19"/>
        <v>16910801</v>
      </c>
      <c r="I42" s="83">
        <f t="shared" si="19"/>
        <v>15072329</v>
      </c>
      <c r="J42" s="83">
        <f t="shared" si="19"/>
        <v>13233857</v>
      </c>
      <c r="K42" s="84">
        <f t="shared" si="19"/>
        <v>11395385</v>
      </c>
    </row>
    <row r="43" spans="1:11" x14ac:dyDescent="0.25">
      <c r="A43" s="92" t="s">
        <v>58</v>
      </c>
      <c r="B43" s="93"/>
      <c r="C43" s="94">
        <f>C37+C39-C40+C41-C42</f>
        <v>-50317583</v>
      </c>
      <c r="D43" s="94">
        <f t="shared" ref="D43:K43" si="20">D37+D39-D40+D41-D42</f>
        <v>-28371111</v>
      </c>
      <c r="E43" s="94">
        <f t="shared" si="20"/>
        <v>162819854</v>
      </c>
      <c r="F43" s="94">
        <f t="shared" si="20"/>
        <v>314156396</v>
      </c>
      <c r="G43" s="94">
        <f t="shared" si="20"/>
        <v>420725114.5</v>
      </c>
      <c r="H43" s="94">
        <f t="shared" si="20"/>
        <v>549186404.70000041</v>
      </c>
      <c r="I43" s="94">
        <f t="shared" si="20"/>
        <v>677647694.90000069</v>
      </c>
      <c r="J43" s="94">
        <f t="shared" si="20"/>
        <v>806108985.10000026</v>
      </c>
      <c r="K43" s="95">
        <f t="shared" si="20"/>
        <v>934570275.29999959</v>
      </c>
    </row>
    <row r="44" spans="1:11" x14ac:dyDescent="0.25">
      <c r="A44" s="92" t="s">
        <v>59</v>
      </c>
      <c r="B44" s="93"/>
      <c r="C44" s="96">
        <f>C43/C32</f>
        <v>-3.9858909413066815E-2</v>
      </c>
      <c r="D44" s="96">
        <f t="shared" ref="D44:K44" si="21">D43/D32</f>
        <v>-1.5245568873613249E-2</v>
      </c>
      <c r="E44" s="96">
        <f t="shared" si="21"/>
        <v>5.6743498438463318E-2</v>
      </c>
      <c r="F44" s="96">
        <f t="shared" si="21"/>
        <v>9.1936976432834647E-2</v>
      </c>
      <c r="G44" s="96">
        <f t="shared" si="21"/>
        <v>9.9683990368934355E-2</v>
      </c>
      <c r="H44" s="96">
        <f t="shared" si="21"/>
        <v>0.1105482801032643</v>
      </c>
      <c r="I44" s="96">
        <f t="shared" si="21"/>
        <v>0.11857153992971943</v>
      </c>
      <c r="J44" s="96">
        <f t="shared" si="21"/>
        <v>0.12473931066179923</v>
      </c>
      <c r="K44" s="97">
        <f t="shared" si="21"/>
        <v>0.12962853980767672</v>
      </c>
    </row>
    <row r="45" spans="1:11" x14ac:dyDescent="0.25">
      <c r="A45" s="7" t="str">
        <f>+A23</f>
        <v>IMPUESTO A LAS GANANCIAS</v>
      </c>
      <c r="B45" s="91"/>
      <c r="C45" s="83">
        <f>+C23</f>
        <v>2055000</v>
      </c>
      <c r="D45" s="83">
        <f t="shared" ref="D45:K45" si="22">+D23</f>
        <v>1390000</v>
      </c>
      <c r="E45" s="83">
        <f t="shared" si="22"/>
        <v>59789000</v>
      </c>
      <c r="F45" s="83">
        <f t="shared" si="22"/>
        <v>79732000</v>
      </c>
      <c r="G45" s="83">
        <f t="shared" si="22"/>
        <v>108599000</v>
      </c>
      <c r="H45" s="83">
        <f t="shared" si="22"/>
        <v>137742000</v>
      </c>
      <c r="I45" s="83">
        <f t="shared" si="22"/>
        <v>166885000</v>
      </c>
      <c r="J45" s="83">
        <f t="shared" si="22"/>
        <v>196028000</v>
      </c>
      <c r="K45" s="84">
        <f t="shared" si="22"/>
        <v>225171000</v>
      </c>
    </row>
    <row r="46" spans="1:11" x14ac:dyDescent="0.25">
      <c r="A46" s="92" t="s">
        <v>60</v>
      </c>
      <c r="B46" s="93"/>
      <c r="C46" s="94">
        <f>C43-C45</f>
        <v>-52372583</v>
      </c>
      <c r="D46" s="94">
        <f t="shared" ref="D46:K46" si="23">D43-D45</f>
        <v>-29761111</v>
      </c>
      <c r="E46" s="94">
        <f t="shared" si="23"/>
        <v>103030854</v>
      </c>
      <c r="F46" s="94">
        <f t="shared" si="23"/>
        <v>234424396</v>
      </c>
      <c r="G46" s="94">
        <f t="shared" si="23"/>
        <v>312126114.5</v>
      </c>
      <c r="H46" s="94">
        <f t="shared" si="23"/>
        <v>411444404.70000041</v>
      </c>
      <c r="I46" s="94">
        <f t="shared" si="23"/>
        <v>510762694.90000069</v>
      </c>
      <c r="J46" s="94">
        <f t="shared" si="23"/>
        <v>610080985.10000026</v>
      </c>
      <c r="K46" s="95">
        <f t="shared" si="23"/>
        <v>709399275.29999959</v>
      </c>
    </row>
    <row r="47" spans="1:11" x14ac:dyDescent="0.25">
      <c r="A47" s="92" t="s">
        <v>61</v>
      </c>
      <c r="B47" s="93"/>
      <c r="C47" s="96">
        <f>C46/C32</f>
        <v>-4.1486770966827305E-2</v>
      </c>
      <c r="D47" s="96">
        <f t="shared" ref="D47:K47" si="24">D46/D32</f>
        <v>-1.5992502637832862E-2</v>
      </c>
      <c r="E47" s="96">
        <f t="shared" si="24"/>
        <v>3.5906745764939345E-2</v>
      </c>
      <c r="F47" s="96">
        <f t="shared" si="24"/>
        <v>6.86036332372921E-2</v>
      </c>
      <c r="G47" s="96">
        <f t="shared" si="24"/>
        <v>7.3953219143305743E-2</v>
      </c>
      <c r="H47" s="96">
        <f t="shared" si="24"/>
        <v>8.2821553680927182E-2</v>
      </c>
      <c r="I47" s="96">
        <f t="shared" si="24"/>
        <v>8.9370803927671522E-2</v>
      </c>
      <c r="J47" s="96">
        <f t="shared" si="24"/>
        <v>9.4405450051899459E-2</v>
      </c>
      <c r="K47" s="97">
        <f t="shared" si="24"/>
        <v>9.8396444470956579E-2</v>
      </c>
    </row>
    <row r="48" spans="1:11" ht="15.75" thickBot="1" x14ac:dyDescent="0.3">
      <c r="A48" s="98" t="s">
        <v>45</v>
      </c>
      <c r="B48" s="99"/>
      <c r="C48" s="100" t="str">
        <f>IF(C46=C25,"ESTA BIEN","LA EMBARRE")</f>
        <v>ESTA BIEN</v>
      </c>
      <c r="D48" s="100" t="str">
        <f t="shared" ref="D48:K48" si="25">IF(D46=D25,"ESTA BIEN","LA EMBARRE")</f>
        <v>ESTA BIEN</v>
      </c>
      <c r="E48" s="100" t="str">
        <f t="shared" si="25"/>
        <v>ESTA BIEN</v>
      </c>
      <c r="F48" s="100" t="str">
        <f t="shared" si="25"/>
        <v>ESTA BIEN</v>
      </c>
      <c r="G48" s="100" t="str">
        <f t="shared" si="25"/>
        <v>ESTA BIEN</v>
      </c>
      <c r="H48" s="100" t="str">
        <f t="shared" si="25"/>
        <v>ESTA BIEN</v>
      </c>
      <c r="I48" s="100" t="str">
        <f t="shared" si="25"/>
        <v>ESTA BIEN</v>
      </c>
      <c r="J48" s="100" t="str">
        <f t="shared" si="25"/>
        <v>ESTA BIEN</v>
      </c>
      <c r="K48" s="101" t="str">
        <f t="shared" si="25"/>
        <v>ESTA BIEN</v>
      </c>
    </row>
    <row r="49" spans="1:11" x14ac:dyDescent="0.25">
      <c r="A49" s="4"/>
      <c r="B49" s="4"/>
      <c r="C49" s="4"/>
      <c r="D49" s="4"/>
      <c r="E49" s="4"/>
      <c r="F49" s="4"/>
      <c r="G49" s="4"/>
      <c r="H49" s="4"/>
      <c r="I49" s="4"/>
    </row>
    <row r="50" spans="1:11" x14ac:dyDescent="0.25">
      <c r="C50" s="291"/>
      <c r="E50" s="291">
        <f>+E45/E43</f>
        <v>0.36720951733564383</v>
      </c>
      <c r="F50" s="291">
        <f t="shared" ref="F50:K50" si="26">+F45/F43</f>
        <v>0.25379715649653684</v>
      </c>
      <c r="G50" s="291">
        <f t="shared" si="26"/>
        <v>0.25812340708270221</v>
      </c>
      <c r="H50" s="291">
        <f t="shared" si="26"/>
        <v>0.2508110157520072</v>
      </c>
      <c r="I50" s="291">
        <f t="shared" si="26"/>
        <v>0.24627103619769108</v>
      </c>
      <c r="J50" s="291">
        <f t="shared" si="26"/>
        <v>0.24317803624987772</v>
      </c>
      <c r="K50" s="291">
        <f t="shared" si="26"/>
        <v>0.24093533247429627</v>
      </c>
    </row>
  </sheetData>
  <mergeCells count="4">
    <mergeCell ref="G30:K30"/>
    <mergeCell ref="J6:K6"/>
    <mergeCell ref="C7:F7"/>
    <mergeCell ref="G7:K7"/>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7"/>
  <sheetViews>
    <sheetView showGridLines="0" workbookViewId="0">
      <selection sqref="A1:A4"/>
    </sheetView>
  </sheetViews>
  <sheetFormatPr baseColWidth="10" defaultRowHeight="15" x14ac:dyDescent="0.25"/>
  <cols>
    <col min="1" max="1" width="53.140625" style="283" bestFit="1" customWidth="1"/>
    <col min="2" max="7" width="9.140625" style="283" bestFit="1" customWidth="1"/>
    <col min="8" max="10" width="9.85546875" style="283" bestFit="1" customWidth="1"/>
    <col min="11" max="16384" width="11.42578125" style="283"/>
  </cols>
  <sheetData>
    <row r="1" spans="1:10" x14ac:dyDescent="0.25">
      <c r="A1" s="353" t="s">
        <v>315</v>
      </c>
      <c r="B1" s="356" t="s">
        <v>0</v>
      </c>
      <c r="C1" s="356"/>
      <c r="D1" s="356"/>
      <c r="E1" s="356"/>
      <c r="F1" s="356" t="s">
        <v>316</v>
      </c>
      <c r="G1" s="356"/>
      <c r="H1" s="356"/>
      <c r="I1" s="356"/>
      <c r="J1" s="358"/>
    </row>
    <row r="2" spans="1:10" x14ac:dyDescent="0.25">
      <c r="A2" s="354"/>
      <c r="B2" s="357"/>
      <c r="C2" s="357"/>
      <c r="D2" s="357"/>
      <c r="E2" s="357"/>
      <c r="F2" s="357"/>
      <c r="G2" s="357"/>
      <c r="H2" s="357"/>
      <c r="I2" s="357"/>
      <c r="J2" s="359"/>
    </row>
    <row r="3" spans="1:10" x14ac:dyDescent="0.25">
      <c r="A3" s="354"/>
      <c r="B3" s="357"/>
      <c r="C3" s="357"/>
      <c r="D3" s="357"/>
      <c r="E3" s="357"/>
      <c r="F3" s="357"/>
      <c r="G3" s="357"/>
      <c r="H3" s="357"/>
      <c r="I3" s="357"/>
      <c r="J3" s="359"/>
    </row>
    <row r="4" spans="1:10" ht="15.75" thickBot="1" x14ac:dyDescent="0.3">
      <c r="A4" s="355"/>
      <c r="B4" s="289">
        <v>2017</v>
      </c>
      <c r="C4" s="289">
        <v>2018</v>
      </c>
      <c r="D4" s="289">
        <v>2019</v>
      </c>
      <c r="E4" s="289">
        <v>2020</v>
      </c>
      <c r="F4" s="289">
        <v>2021</v>
      </c>
      <c r="G4" s="289">
        <v>2022</v>
      </c>
      <c r="H4" s="289">
        <v>2023</v>
      </c>
      <c r="I4" s="289">
        <v>2024</v>
      </c>
      <c r="J4" s="290">
        <v>2025</v>
      </c>
    </row>
    <row r="5" spans="1:10" ht="15.75" x14ac:dyDescent="0.25">
      <c r="A5" s="287" t="s">
        <v>317</v>
      </c>
      <c r="B5" s="278"/>
      <c r="C5" s="278">
        <f>+B13</f>
        <v>69419853</v>
      </c>
      <c r="D5" s="278">
        <f>+C13</f>
        <v>53522787</v>
      </c>
      <c r="E5" s="278">
        <f>+D13</f>
        <v>63501938</v>
      </c>
      <c r="F5" s="278">
        <f>+E13</f>
        <v>171261779</v>
      </c>
      <c r="G5" s="278"/>
      <c r="H5" s="278"/>
      <c r="I5" s="278"/>
      <c r="J5" s="282"/>
    </row>
    <row r="6" spans="1:10" ht="15.75" x14ac:dyDescent="0.25">
      <c r="A6" s="287" t="s">
        <v>318</v>
      </c>
      <c r="B6" s="278"/>
      <c r="C6" s="278"/>
      <c r="D6" s="278"/>
      <c r="E6" s="278"/>
      <c r="F6" s="278"/>
      <c r="G6" s="278"/>
      <c r="H6" s="278"/>
      <c r="I6" s="278"/>
      <c r="J6" s="282"/>
    </row>
    <row r="7" spans="1:10" ht="15.75" x14ac:dyDescent="0.25">
      <c r="A7" s="287" t="s">
        <v>319</v>
      </c>
      <c r="B7" s="278">
        <v>65501136</v>
      </c>
      <c r="C7" s="278">
        <v>67793341</v>
      </c>
      <c r="D7" s="278">
        <v>59575272</v>
      </c>
      <c r="E7" s="278">
        <v>112262184</v>
      </c>
      <c r="F7" s="278">
        <f>+F9*$F$16</f>
        <v>73705598.407572746</v>
      </c>
      <c r="G7" s="278">
        <f>+G9*$F$16</f>
        <v>86755145.224146649</v>
      </c>
      <c r="H7" s="278">
        <f>+H9*$F$16</f>
        <v>99804692.040720537</v>
      </c>
      <c r="I7" s="278">
        <f>+I9*$F$16</f>
        <v>112854238.85729443</v>
      </c>
      <c r="J7" s="282">
        <f>+J9*$F$16</f>
        <v>125903785.67386831</v>
      </c>
    </row>
    <row r="8" spans="1:10" ht="15.75" x14ac:dyDescent="0.25">
      <c r="A8" s="287" t="s">
        <v>320</v>
      </c>
      <c r="B8" s="278">
        <v>71876631</v>
      </c>
      <c r="C8" s="278">
        <v>85739188</v>
      </c>
      <c r="D8" s="278">
        <v>116650296</v>
      </c>
      <c r="E8" s="278">
        <v>157619746</v>
      </c>
      <c r="F8" s="278">
        <f>+F9*$F$17</f>
        <v>87145227.717701271</v>
      </c>
      <c r="G8" s="278">
        <f>+G9*$F$17</f>
        <v>102574255.54615313</v>
      </c>
      <c r="H8" s="278">
        <f>+H9*$F$17</f>
        <v>118003283.37460497</v>
      </c>
      <c r="I8" s="278">
        <f>+I9*$F$17</f>
        <v>133432311.2030568</v>
      </c>
      <c r="J8" s="282">
        <f>+J9*$F$17</f>
        <v>148861339.03150862</v>
      </c>
    </row>
    <row r="9" spans="1:10" ht="15.75" x14ac:dyDescent="0.25">
      <c r="A9" s="287" t="s">
        <v>321</v>
      </c>
      <c r="B9" s="278">
        <f>+B7+B8</f>
        <v>137377767</v>
      </c>
      <c r="C9" s="278">
        <f>+C7+C8</f>
        <v>153532529</v>
      </c>
      <c r="D9" s="278">
        <f>+D7+D8</f>
        <v>176225568</v>
      </c>
      <c r="E9" s="278">
        <f>+E7+E8</f>
        <v>269881930</v>
      </c>
      <c r="F9" s="278">
        <f>+[2]PYG!G10*$F$15</f>
        <v>149758704.41690481</v>
      </c>
      <c r="G9" s="278">
        <f>+[2]PYG!H10*$F$15</f>
        <v>176273423.33515</v>
      </c>
      <c r="H9" s="278">
        <f>+[2]PYG!I10*$F$15</f>
        <v>202788142.25339517</v>
      </c>
      <c r="I9" s="278">
        <f>+[2]PYG!J10*$F$15</f>
        <v>229302861.17164034</v>
      </c>
      <c r="J9" s="282">
        <f>+[2]PYG!K10*$F$15</f>
        <v>255817580.0898855</v>
      </c>
    </row>
    <row r="10" spans="1:10" ht="15.75" x14ac:dyDescent="0.25">
      <c r="A10" s="287" t="s">
        <v>322</v>
      </c>
      <c r="B10" s="278"/>
      <c r="C10" s="278"/>
      <c r="D10" s="278"/>
      <c r="E10" s="278"/>
      <c r="F10" s="278"/>
      <c r="G10" s="278"/>
      <c r="H10" s="278"/>
      <c r="I10" s="278"/>
      <c r="J10" s="282"/>
    </row>
    <row r="11" spans="1:10" ht="15.75" x14ac:dyDescent="0.25">
      <c r="A11" s="287" t="s">
        <v>323</v>
      </c>
      <c r="B11" s="278"/>
      <c r="C11" s="278"/>
      <c r="D11" s="278"/>
      <c r="E11" s="278"/>
      <c r="F11" s="278"/>
      <c r="G11" s="278"/>
      <c r="H11" s="278"/>
      <c r="I11" s="278"/>
      <c r="J11" s="282"/>
    </row>
    <row r="12" spans="1:10" ht="15.75" x14ac:dyDescent="0.25">
      <c r="A12" s="281" t="s">
        <v>324</v>
      </c>
      <c r="B12" s="278">
        <v>67957914</v>
      </c>
      <c r="C12" s="278">
        <v>100009742</v>
      </c>
      <c r="D12" s="278">
        <v>112723630</v>
      </c>
      <c r="E12" s="278">
        <v>98620151</v>
      </c>
      <c r="F12" s="278">
        <f>+F9*$F$18</f>
        <v>80538184.491180688</v>
      </c>
      <c r="G12" s="278">
        <f>+G9*$F$18</f>
        <v>94797437.950162798</v>
      </c>
      <c r="H12" s="278">
        <f>+H9*$F$18</f>
        <v>109056691.40914491</v>
      </c>
      <c r="I12" s="278">
        <f>+I9*$F$18</f>
        <v>123315944.868127</v>
      </c>
      <c r="J12" s="282">
        <f>+J9*$F$18</f>
        <v>137575198.3271091</v>
      </c>
    </row>
    <row r="13" spans="1:10" ht="16.5" thickBot="1" x14ac:dyDescent="0.3">
      <c r="A13" s="288" t="s">
        <v>325</v>
      </c>
      <c r="B13" s="280">
        <f t="shared" ref="B13:J13" si="0">+B9-B12</f>
        <v>69419853</v>
      </c>
      <c r="C13" s="280">
        <f t="shared" si="0"/>
        <v>53522787</v>
      </c>
      <c r="D13" s="280">
        <f t="shared" si="0"/>
        <v>63501938</v>
      </c>
      <c r="E13" s="280">
        <f t="shared" si="0"/>
        <v>171261779</v>
      </c>
      <c r="F13" s="280">
        <f t="shared" si="0"/>
        <v>69220519.925724119</v>
      </c>
      <c r="G13" s="280">
        <f t="shared" si="0"/>
        <v>81475985.384987205</v>
      </c>
      <c r="H13" s="280">
        <f t="shared" si="0"/>
        <v>93731450.844250262</v>
      </c>
      <c r="I13" s="280">
        <f t="shared" si="0"/>
        <v>105986916.30351333</v>
      </c>
      <c r="J13" s="279">
        <f t="shared" si="0"/>
        <v>118242381.7627764</v>
      </c>
    </row>
    <row r="14" spans="1:10" ht="16.5" thickBot="1" x14ac:dyDescent="0.3">
      <c r="A14" s="292" t="s">
        <v>326</v>
      </c>
    </row>
    <row r="15" spans="1:10" ht="16.5" hidden="1" thickBot="1" x14ac:dyDescent="0.3">
      <c r="A15" s="293" t="s">
        <v>327</v>
      </c>
      <c r="B15" s="291">
        <f>+B7/[2]PYG!C10</f>
        <v>5.188651144624673E-2</v>
      </c>
      <c r="C15" s="291">
        <f>+C7/[2]PYG!D10</f>
        <v>3.6429593800110571E-2</v>
      </c>
      <c r="D15" s="291">
        <f>+D7/[2]PYG!E10</f>
        <v>2.0762267442538226E-2</v>
      </c>
      <c r="E15" s="291">
        <f>+E7/[2]PYG!F10</f>
        <v>3.285320908986538E-2</v>
      </c>
      <c r="F15" s="294">
        <f>+AVERAGE(B15:E15)</f>
        <v>3.5482895444690229E-2</v>
      </c>
    </row>
    <row r="16" spans="1:10" ht="16.5" hidden="1" thickBot="1" x14ac:dyDescent="0.3">
      <c r="A16" s="287" t="s">
        <v>319</v>
      </c>
      <c r="B16" s="291">
        <f>+B7/B9</f>
        <v>0.47679575400290208</v>
      </c>
      <c r="C16" s="291">
        <f>+C7/C9</f>
        <v>0.44155685730937189</v>
      </c>
      <c r="D16" s="291">
        <f>+D7/D9</f>
        <v>0.33806259032741492</v>
      </c>
      <c r="E16" s="291">
        <f>+E7/E8</f>
        <v>0.71223426536926404</v>
      </c>
      <c r="F16" s="294">
        <f>+AVERAGE(B16:E16)</f>
        <v>0.49216236675223823</v>
      </c>
    </row>
    <row r="17" spans="1:10" ht="16.5" hidden="1" thickBot="1" x14ac:dyDescent="0.3">
      <c r="A17" s="287" t="s">
        <v>320</v>
      </c>
      <c r="B17" s="291">
        <f>+B8/B9</f>
        <v>0.52320424599709792</v>
      </c>
      <c r="C17" s="291">
        <f>+C8/C9</f>
        <v>0.55844314269062811</v>
      </c>
      <c r="D17" s="291">
        <f>+D8/D9</f>
        <v>0.66193740967258508</v>
      </c>
      <c r="E17" s="291">
        <f>+E8/E9</f>
        <v>0.58403223216908229</v>
      </c>
      <c r="F17" s="294">
        <f>+AVERAGE(B17:E17)</f>
        <v>0.58190425763234832</v>
      </c>
    </row>
    <row r="18" spans="1:10" ht="16.5" hidden="1" thickBot="1" x14ac:dyDescent="0.3">
      <c r="A18" s="287" t="s">
        <v>328</v>
      </c>
      <c r="B18" s="291">
        <f>+B12/B9</f>
        <v>0.49467912810083747</v>
      </c>
      <c r="C18" s="291">
        <f>+C12/C9</f>
        <v>0.65139122407082861</v>
      </c>
      <c r="D18" s="291">
        <f>+D12/D9</f>
        <v>0.63965536487872177</v>
      </c>
      <c r="E18" s="291">
        <f>+E12/E9</f>
        <v>0.36541961516282323</v>
      </c>
      <c r="F18" s="294">
        <f>+AVERAGE(B18:E18)</f>
        <v>0.5377863330533027</v>
      </c>
    </row>
    <row r="19" spans="1:10" x14ac:dyDescent="0.25">
      <c r="A19" s="353" t="s">
        <v>329</v>
      </c>
      <c r="B19" s="356" t="s">
        <v>0</v>
      </c>
      <c r="C19" s="356"/>
      <c r="D19" s="356"/>
      <c r="E19" s="356"/>
      <c r="F19" s="356" t="s">
        <v>316</v>
      </c>
      <c r="G19" s="356"/>
      <c r="H19" s="356"/>
      <c r="I19" s="356"/>
      <c r="J19" s="358"/>
    </row>
    <row r="20" spans="1:10" x14ac:dyDescent="0.25">
      <c r="A20" s="354"/>
      <c r="B20" s="357"/>
      <c r="C20" s="357"/>
      <c r="D20" s="357"/>
      <c r="E20" s="357"/>
      <c r="F20" s="357"/>
      <c r="G20" s="357"/>
      <c r="H20" s="357"/>
      <c r="I20" s="357"/>
      <c r="J20" s="359"/>
    </row>
    <row r="21" spans="1:10" x14ac:dyDescent="0.25">
      <c r="A21" s="354"/>
      <c r="B21" s="357"/>
      <c r="C21" s="357"/>
      <c r="D21" s="357"/>
      <c r="E21" s="357"/>
      <c r="F21" s="357"/>
      <c r="G21" s="357"/>
      <c r="H21" s="357"/>
      <c r="I21" s="357"/>
      <c r="J21" s="359"/>
    </row>
    <row r="22" spans="1:10" ht="15.75" thickBot="1" x14ac:dyDescent="0.3">
      <c r="A22" s="355"/>
      <c r="B22" s="289">
        <v>2017</v>
      </c>
      <c r="C22" s="289">
        <v>2018</v>
      </c>
      <c r="D22" s="289">
        <v>2019</v>
      </c>
      <c r="E22" s="289">
        <v>2020</v>
      </c>
      <c r="F22" s="289">
        <v>2021</v>
      </c>
      <c r="G22" s="289">
        <v>2022</v>
      </c>
      <c r="H22" s="289">
        <v>2023</v>
      </c>
      <c r="I22" s="289">
        <v>2024</v>
      </c>
      <c r="J22" s="290">
        <v>2025</v>
      </c>
    </row>
    <row r="23" spans="1:10" ht="15.75" x14ac:dyDescent="0.25">
      <c r="A23" s="292" t="s">
        <v>330</v>
      </c>
      <c r="B23" s="295"/>
      <c r="C23" s="295"/>
      <c r="D23" s="295"/>
      <c r="E23" s="295"/>
      <c r="F23" s="295"/>
      <c r="G23" s="295"/>
      <c r="H23" s="295"/>
      <c r="I23" s="295"/>
      <c r="J23" s="296"/>
    </row>
    <row r="24" spans="1:10" ht="15.75" x14ac:dyDescent="0.25">
      <c r="A24" s="292" t="s">
        <v>192</v>
      </c>
      <c r="B24" s="295"/>
      <c r="C24" s="295"/>
      <c r="D24" s="295"/>
      <c r="E24" s="295"/>
      <c r="F24" s="295"/>
      <c r="G24" s="295"/>
      <c r="H24" s="295"/>
      <c r="I24" s="295"/>
      <c r="J24" s="296"/>
    </row>
    <row r="25" spans="1:10" ht="15.75" x14ac:dyDescent="0.25">
      <c r="A25" s="292" t="s">
        <v>194</v>
      </c>
      <c r="B25" s="295"/>
      <c r="C25" s="295"/>
      <c r="D25" s="295"/>
      <c r="E25" s="295"/>
      <c r="F25" s="295"/>
      <c r="G25" s="295"/>
      <c r="H25" s="295"/>
      <c r="I25" s="295"/>
      <c r="J25" s="296"/>
    </row>
    <row r="26" spans="1:10" ht="15.75" x14ac:dyDescent="0.25">
      <c r="A26" s="292" t="s">
        <v>195</v>
      </c>
      <c r="B26" s="295"/>
      <c r="C26" s="295"/>
      <c r="D26" s="295"/>
      <c r="E26" s="295"/>
      <c r="F26" s="295"/>
      <c r="G26" s="295"/>
      <c r="H26" s="295"/>
      <c r="I26" s="295"/>
      <c r="J26" s="296"/>
    </row>
    <row r="27" spans="1:10" ht="16.5" thickBot="1" x14ac:dyDescent="0.3">
      <c r="A27" s="297" t="s">
        <v>331</v>
      </c>
      <c r="B27" s="298"/>
      <c r="C27" s="298"/>
      <c r="D27" s="298"/>
      <c r="E27" s="298"/>
      <c r="F27" s="298"/>
      <c r="G27" s="298"/>
      <c r="H27" s="298"/>
      <c r="I27" s="298"/>
      <c r="J27" s="299"/>
    </row>
    <row r="28" spans="1:10" ht="15.75" thickBot="1" x14ac:dyDescent="0.3"/>
    <row r="29" spans="1:10" x14ac:dyDescent="0.25">
      <c r="A29" s="353" t="s">
        <v>208</v>
      </c>
      <c r="B29" s="356" t="s">
        <v>0</v>
      </c>
      <c r="C29" s="356"/>
      <c r="D29" s="356"/>
      <c r="E29" s="356"/>
      <c r="F29" s="356" t="s">
        <v>316</v>
      </c>
      <c r="G29" s="356"/>
      <c r="H29" s="356"/>
      <c r="I29" s="356"/>
      <c r="J29" s="358"/>
    </row>
    <row r="30" spans="1:10" x14ac:dyDescent="0.25">
      <c r="A30" s="354"/>
      <c r="B30" s="357"/>
      <c r="C30" s="357"/>
      <c r="D30" s="357"/>
      <c r="E30" s="357"/>
      <c r="F30" s="357"/>
      <c r="G30" s="357"/>
      <c r="H30" s="357"/>
      <c r="I30" s="357"/>
      <c r="J30" s="359"/>
    </row>
    <row r="31" spans="1:10" x14ac:dyDescent="0.25">
      <c r="A31" s="354"/>
      <c r="B31" s="357"/>
      <c r="C31" s="357"/>
      <c r="D31" s="357"/>
      <c r="E31" s="357"/>
      <c r="F31" s="357"/>
      <c r="G31" s="357"/>
      <c r="H31" s="357"/>
      <c r="I31" s="357"/>
      <c r="J31" s="359"/>
    </row>
    <row r="32" spans="1:10" ht="15.75" thickBot="1" x14ac:dyDescent="0.3">
      <c r="A32" s="355"/>
      <c r="B32" s="289">
        <v>2017</v>
      </c>
      <c r="C32" s="289">
        <v>2018</v>
      </c>
      <c r="D32" s="289">
        <v>2019</v>
      </c>
      <c r="E32" s="289">
        <v>2020</v>
      </c>
      <c r="F32" s="289">
        <v>2021</v>
      </c>
      <c r="G32" s="289">
        <v>2022</v>
      </c>
      <c r="H32" s="289">
        <v>2023</v>
      </c>
      <c r="I32" s="289">
        <v>2024</v>
      </c>
      <c r="J32" s="290">
        <v>2025</v>
      </c>
    </row>
    <row r="33" spans="1:10" ht="15.75" x14ac:dyDescent="0.25">
      <c r="A33" s="287" t="s">
        <v>332</v>
      </c>
      <c r="B33" s="278">
        <f>+[2]PYG!C10</f>
        <v>1262392367</v>
      </c>
      <c r="C33" s="278">
        <f>+[2]PYG!D10</f>
        <v>1860941447</v>
      </c>
      <c r="D33" s="278">
        <f>+[2]PYG!E10</f>
        <v>2869401050</v>
      </c>
      <c r="E33" s="278">
        <f>+[2]PYG!F10</f>
        <v>3417084270</v>
      </c>
      <c r="F33" s="278">
        <f>+[2]PYG!G10</f>
        <v>4220588611.5</v>
      </c>
      <c r="G33" s="278">
        <f>+[2]PYG!H10</f>
        <v>4967842142.7000008</v>
      </c>
      <c r="H33" s="278">
        <f>+[2]PYG!I10</f>
        <v>5715095673.9000006</v>
      </c>
      <c r="I33" s="278">
        <f>+[2]PYG!J10</f>
        <v>6462349205.1000004</v>
      </c>
      <c r="J33" s="282">
        <f>+[2]PYG!K10</f>
        <v>7209602736.3000002</v>
      </c>
    </row>
    <row r="34" spans="1:10" ht="15.75" x14ac:dyDescent="0.25">
      <c r="A34" s="287" t="s">
        <v>333</v>
      </c>
      <c r="B34" s="278">
        <f>+[2]PYG!C14</f>
        <v>8381414</v>
      </c>
      <c r="C34" s="278">
        <f>+[2]PYG!D14</f>
        <v>8895908</v>
      </c>
      <c r="D34" s="278">
        <f>+[2]PYG!E14</f>
        <v>597205</v>
      </c>
      <c r="E34" s="278">
        <f>+[2]PYG!F14</f>
        <v>26627619</v>
      </c>
      <c r="F34" s="278">
        <f>+[2]PYG!G14</f>
        <v>22735514.5</v>
      </c>
      <c r="G34" s="278">
        <f>+[2]PYG!H14</f>
        <v>27379505.700000003</v>
      </c>
      <c r="H34" s="278">
        <f>+[2]PYG!I14</f>
        <v>32023496.900000002</v>
      </c>
      <c r="I34" s="278">
        <f>+[2]PYG!J14</f>
        <v>36667488.100000001</v>
      </c>
      <c r="J34" s="282">
        <f>+[2]PYG!K14</f>
        <v>41311479.300000004</v>
      </c>
    </row>
    <row r="35" spans="1:10" ht="15.75" x14ac:dyDescent="0.25">
      <c r="A35" s="287" t="s">
        <v>334</v>
      </c>
      <c r="B35" s="278">
        <f>+[2]PYG!C20</f>
        <v>0</v>
      </c>
      <c r="C35" s="278">
        <f>+[2]PYG!D20</f>
        <v>0</v>
      </c>
      <c r="D35" s="278">
        <f>+[2]PYG!E20</f>
        <v>152220</v>
      </c>
      <c r="E35" s="278">
        <f>+[2]PYG!F20</f>
        <v>4955622</v>
      </c>
      <c r="F35" s="278">
        <f>+[2]PYG!G20</f>
        <v>5031732</v>
      </c>
      <c r="G35" s="278">
        <f>+[2]PYG!H20</f>
        <v>6533640.6000000015</v>
      </c>
      <c r="H35" s="278">
        <f>+[2]PYG!I20</f>
        <v>8035549.2000000011</v>
      </c>
      <c r="I35" s="278">
        <f>+[2]PYG!J20</f>
        <v>9537457.8000000007</v>
      </c>
      <c r="J35" s="282">
        <f>+[2]PYG!K20</f>
        <v>11039366.4</v>
      </c>
    </row>
    <row r="36" spans="1:10" ht="16.5" thickBot="1" x14ac:dyDescent="0.3">
      <c r="A36" s="288" t="s">
        <v>335</v>
      </c>
      <c r="B36" s="280">
        <f>+SUM(B33:B35)</f>
        <v>1270773781</v>
      </c>
      <c r="C36" s="280">
        <f t="shared" ref="C36:J36" si="1">+SUM(C33:C35)</f>
        <v>1869837355</v>
      </c>
      <c r="D36" s="280">
        <f t="shared" si="1"/>
        <v>2870150475</v>
      </c>
      <c r="E36" s="280">
        <f t="shared" si="1"/>
        <v>3448667511</v>
      </c>
      <c r="F36" s="280">
        <f t="shared" si="1"/>
        <v>4248355858</v>
      </c>
      <c r="G36" s="280">
        <f t="shared" si="1"/>
        <v>5001755289.000001</v>
      </c>
      <c r="H36" s="280">
        <f t="shared" si="1"/>
        <v>5755154720</v>
      </c>
      <c r="I36" s="280">
        <f t="shared" si="1"/>
        <v>6508554151.000001</v>
      </c>
      <c r="J36" s="279">
        <f t="shared" si="1"/>
        <v>7261953582</v>
      </c>
    </row>
    <row r="37" spans="1:10" ht="15.75" thickBot="1" x14ac:dyDescent="0.3"/>
    <row r="38" spans="1:10" x14ac:dyDescent="0.25">
      <c r="A38" s="353" t="s">
        <v>336</v>
      </c>
      <c r="B38" s="356" t="s">
        <v>0</v>
      </c>
      <c r="C38" s="356"/>
      <c r="D38" s="356"/>
      <c r="E38" s="356"/>
      <c r="F38" s="356" t="s">
        <v>316</v>
      </c>
      <c r="G38" s="356"/>
      <c r="H38" s="356"/>
      <c r="I38" s="356"/>
      <c r="J38" s="358"/>
    </row>
    <row r="39" spans="1:10" x14ac:dyDescent="0.25">
      <c r="A39" s="354"/>
      <c r="B39" s="357"/>
      <c r="C39" s="357"/>
      <c r="D39" s="357"/>
      <c r="E39" s="357"/>
      <c r="F39" s="357"/>
      <c r="G39" s="357"/>
      <c r="H39" s="357"/>
      <c r="I39" s="357"/>
      <c r="J39" s="359"/>
    </row>
    <row r="40" spans="1:10" x14ac:dyDescent="0.25">
      <c r="A40" s="354"/>
      <c r="B40" s="357"/>
      <c r="C40" s="357"/>
      <c r="D40" s="357"/>
      <c r="E40" s="357"/>
      <c r="F40" s="357"/>
      <c r="G40" s="357"/>
      <c r="H40" s="357"/>
      <c r="I40" s="357"/>
      <c r="J40" s="359"/>
    </row>
    <row r="41" spans="1:10" ht="15.75" thickBot="1" x14ac:dyDescent="0.3">
      <c r="A41" s="355"/>
      <c r="B41" s="289">
        <v>2017</v>
      </c>
      <c r="C41" s="289">
        <v>2018</v>
      </c>
      <c r="D41" s="289">
        <v>2019</v>
      </c>
      <c r="E41" s="289">
        <v>2020</v>
      </c>
      <c r="F41" s="289">
        <v>2021</v>
      </c>
      <c r="G41" s="289">
        <v>2022</v>
      </c>
      <c r="H41" s="289">
        <v>2023</v>
      </c>
      <c r="I41" s="289">
        <v>2024</v>
      </c>
      <c r="J41" s="290">
        <v>2025</v>
      </c>
    </row>
    <row r="42" spans="1:10" ht="15.75" x14ac:dyDescent="0.25">
      <c r="A42" s="287" t="s">
        <v>337</v>
      </c>
      <c r="B42" s="278">
        <f>+[2]PYG!C11</f>
        <v>0</v>
      </c>
      <c r="C42" s="278">
        <f>+[2]PYG!D11</f>
        <v>0</v>
      </c>
      <c r="D42" s="278">
        <f>+[2]PYG!E11</f>
        <v>1504556463</v>
      </c>
      <c r="E42" s="278">
        <f>+[2]PYG!F11</f>
        <v>1769012091</v>
      </c>
      <c r="F42" s="278">
        <f>+[2]PYG!G11</f>
        <v>2521290322.5</v>
      </c>
      <c r="G42" s="278">
        <f>+[2]PYG!H11</f>
        <v>3202449596.1000004</v>
      </c>
      <c r="H42" s="278">
        <f>+[2]PYG!I11</f>
        <v>3883608869.6999998</v>
      </c>
      <c r="I42" s="278">
        <f>+[2]PYG!J11</f>
        <v>4564768143.3000002</v>
      </c>
      <c r="J42" s="282">
        <f>+[2]PYG!K11</f>
        <v>5245927416.9000006</v>
      </c>
    </row>
    <row r="43" spans="1:10" ht="15.75" x14ac:dyDescent="0.25">
      <c r="A43" s="287" t="s">
        <v>338</v>
      </c>
      <c r="B43" s="278">
        <f>+[2]PYG!C15</f>
        <v>415544197</v>
      </c>
      <c r="C43" s="278">
        <f>+[2]PYG!D15</f>
        <v>703521762</v>
      </c>
      <c r="D43" s="278">
        <f>+[2]PYG!E15</f>
        <v>1174056377</v>
      </c>
      <c r="E43" s="278">
        <f>+[2]PYG!F15</f>
        <v>1280972049</v>
      </c>
      <c r="F43" s="278">
        <f>+[2]PYG!G15</f>
        <v>1660228139</v>
      </c>
      <c r="G43" s="278">
        <f>+[2]PYG!H15</f>
        <v>1966909956.1000001</v>
      </c>
      <c r="H43" s="278">
        <f>+[2]PYG!I15</f>
        <v>2273591773.2000003</v>
      </c>
      <c r="I43" s="278">
        <f>+[2]PYG!J15</f>
        <v>2580273590.3000002</v>
      </c>
      <c r="J43" s="282">
        <f>+[2]PYG!K15</f>
        <v>2886955407.4000001</v>
      </c>
    </row>
    <row r="44" spans="1:10" ht="15.75" x14ac:dyDescent="0.25">
      <c r="A44" s="287" t="s">
        <v>339</v>
      </c>
      <c r="B44" s="278">
        <f>+[2]PYG!C16+[2]PYG!C21</f>
        <v>905547167</v>
      </c>
      <c r="C44" s="278">
        <f>+[2]PYG!D16+[2]PYG!D21</f>
        <v>1194686704</v>
      </c>
      <c r="D44" s="278">
        <f>+[2]PYG!E16+[2]PYG!E21</f>
        <v>28717781</v>
      </c>
      <c r="E44" s="278">
        <f>+[2]PYG!F16+[2]PYG!F21</f>
        <v>84526975</v>
      </c>
      <c r="F44" s="278">
        <f>+[2]PYG!G16+[2]PYG!G21</f>
        <v>-353887718</v>
      </c>
      <c r="G44" s="278">
        <f>+[2]PYG!H16+[2]PYG!H21</f>
        <v>-716790667.89999962</v>
      </c>
      <c r="H44" s="278">
        <f>+[2]PYG!I16+[2]PYG!I21</f>
        <v>-1079693617.7999997</v>
      </c>
      <c r="I44" s="278">
        <f>+[2]PYG!J16+[2]PYG!J21</f>
        <v>-1442596567.6999998</v>
      </c>
      <c r="J44" s="282">
        <f>+[2]PYG!K16+[2]PYG!K21</f>
        <v>-1805499517.5999999</v>
      </c>
    </row>
    <row r="45" spans="1:10" ht="16.5" thickBot="1" x14ac:dyDescent="0.3">
      <c r="A45" s="288" t="s">
        <v>340</v>
      </c>
      <c r="B45" s="280">
        <f>+SUM(B42:B44)</f>
        <v>1321091364</v>
      </c>
      <c r="C45" s="280">
        <f t="shared" ref="C45:J45" si="2">+SUM(C42:C44)</f>
        <v>1898208466</v>
      </c>
      <c r="D45" s="280">
        <f t="shared" si="2"/>
        <v>2707330621</v>
      </c>
      <c r="E45" s="280">
        <f t="shared" si="2"/>
        <v>3134511115</v>
      </c>
      <c r="F45" s="280">
        <f t="shared" si="2"/>
        <v>3827630743.5</v>
      </c>
      <c r="G45" s="280">
        <f t="shared" si="2"/>
        <v>4452568884.3000011</v>
      </c>
      <c r="H45" s="280">
        <f t="shared" si="2"/>
        <v>5077507025.1000004</v>
      </c>
      <c r="I45" s="280">
        <f t="shared" si="2"/>
        <v>5702445165.9000006</v>
      </c>
      <c r="J45" s="279">
        <f t="shared" si="2"/>
        <v>6327383306.7000008</v>
      </c>
    </row>
    <row r="46" spans="1:10" ht="15.75" thickBot="1" x14ac:dyDescent="0.3"/>
    <row r="47" spans="1:10" x14ac:dyDescent="0.25">
      <c r="A47" s="353" t="s">
        <v>225</v>
      </c>
      <c r="B47" s="356" t="s">
        <v>0</v>
      </c>
      <c r="C47" s="356"/>
      <c r="D47" s="356"/>
      <c r="E47" s="356"/>
      <c r="F47" s="356" t="s">
        <v>316</v>
      </c>
      <c r="G47" s="356"/>
      <c r="H47" s="356"/>
      <c r="I47" s="356"/>
      <c r="J47" s="358"/>
    </row>
    <row r="48" spans="1:10" x14ac:dyDescent="0.25">
      <c r="A48" s="354"/>
      <c r="B48" s="357"/>
      <c r="C48" s="357"/>
      <c r="D48" s="357"/>
      <c r="E48" s="357"/>
      <c r="F48" s="357"/>
      <c r="G48" s="357"/>
      <c r="H48" s="357"/>
      <c r="I48" s="357"/>
      <c r="J48" s="359"/>
    </row>
    <row r="49" spans="1:10" x14ac:dyDescent="0.25">
      <c r="A49" s="354"/>
      <c r="B49" s="357"/>
      <c r="C49" s="357"/>
      <c r="D49" s="357"/>
      <c r="E49" s="357"/>
      <c r="F49" s="357"/>
      <c r="G49" s="357"/>
      <c r="H49" s="357"/>
      <c r="I49" s="357"/>
      <c r="J49" s="359"/>
    </row>
    <row r="50" spans="1:10" ht="15.75" thickBot="1" x14ac:dyDescent="0.3">
      <c r="A50" s="355"/>
      <c r="B50" s="289">
        <v>2017</v>
      </c>
      <c r="C50" s="289">
        <v>2018</v>
      </c>
      <c r="D50" s="289">
        <v>2019</v>
      </c>
      <c r="E50" s="289">
        <v>2020</v>
      </c>
      <c r="F50" s="289">
        <v>2021</v>
      </c>
      <c r="G50" s="289">
        <v>2022</v>
      </c>
      <c r="H50" s="289">
        <v>2023</v>
      </c>
      <c r="I50" s="289">
        <v>2024</v>
      </c>
      <c r="J50" s="290">
        <v>2025</v>
      </c>
    </row>
    <row r="51" spans="1:10" ht="15.75" x14ac:dyDescent="0.25">
      <c r="A51" s="287" t="s">
        <v>341</v>
      </c>
      <c r="B51" s="278">
        <v>16990062</v>
      </c>
      <c r="C51" s="278">
        <f t="shared" ref="C51:J51" si="3">+B61</f>
        <v>-35382521</v>
      </c>
      <c r="D51" s="278">
        <f t="shared" si="3"/>
        <v>-65143632</v>
      </c>
      <c r="E51" s="278">
        <f t="shared" si="3"/>
        <v>37887222</v>
      </c>
      <c r="F51" s="278">
        <f t="shared" si="3"/>
        <v>272311618</v>
      </c>
      <c r="G51" s="278">
        <f t="shared" si="3"/>
        <v>584437732.5</v>
      </c>
      <c r="H51" s="278">
        <f t="shared" si="3"/>
        <v>995882137.19999981</v>
      </c>
      <c r="I51" s="278">
        <f t="shared" si="3"/>
        <v>1506644832.0999994</v>
      </c>
      <c r="J51" s="282">
        <f t="shared" si="3"/>
        <v>2116725817.2</v>
      </c>
    </row>
    <row r="52" spans="1:10" ht="15.75" x14ac:dyDescent="0.25">
      <c r="A52" s="287" t="s">
        <v>342</v>
      </c>
      <c r="B52" s="300">
        <f t="shared" ref="B52:J52" si="4">+B36</f>
        <v>1270773781</v>
      </c>
      <c r="C52" s="300">
        <f t="shared" si="4"/>
        <v>1869837355</v>
      </c>
      <c r="D52" s="300">
        <f t="shared" si="4"/>
        <v>2870150475</v>
      </c>
      <c r="E52" s="300">
        <f t="shared" si="4"/>
        <v>3448667511</v>
      </c>
      <c r="F52" s="300">
        <f t="shared" si="4"/>
        <v>4248355858</v>
      </c>
      <c r="G52" s="300">
        <f t="shared" si="4"/>
        <v>5001755289.000001</v>
      </c>
      <c r="H52" s="300">
        <f t="shared" si="4"/>
        <v>5755154720</v>
      </c>
      <c r="I52" s="300">
        <f t="shared" si="4"/>
        <v>6508554151.000001</v>
      </c>
      <c r="J52" s="301">
        <f t="shared" si="4"/>
        <v>7261953582</v>
      </c>
    </row>
    <row r="53" spans="1:10" ht="15.75" x14ac:dyDescent="0.25">
      <c r="A53" s="287" t="s">
        <v>343</v>
      </c>
      <c r="B53" s="300">
        <f t="shared" ref="B53:J53" si="5">+B45</f>
        <v>1321091364</v>
      </c>
      <c r="C53" s="300">
        <f t="shared" si="5"/>
        <v>1898208466</v>
      </c>
      <c r="D53" s="300">
        <f t="shared" si="5"/>
        <v>2707330621</v>
      </c>
      <c r="E53" s="300">
        <f t="shared" si="5"/>
        <v>3134511115</v>
      </c>
      <c r="F53" s="300">
        <f t="shared" si="5"/>
        <v>3827630743.5</v>
      </c>
      <c r="G53" s="300">
        <f t="shared" si="5"/>
        <v>4452568884.3000011</v>
      </c>
      <c r="H53" s="300">
        <f t="shared" si="5"/>
        <v>5077507025.1000004</v>
      </c>
      <c r="I53" s="300">
        <f t="shared" si="5"/>
        <v>5702445165.9000006</v>
      </c>
      <c r="J53" s="301">
        <f t="shared" si="5"/>
        <v>6327383306.7000008</v>
      </c>
    </row>
    <row r="54" spans="1:10" ht="15.75" x14ac:dyDescent="0.25">
      <c r="A54" s="287" t="s">
        <v>344</v>
      </c>
      <c r="B54" s="300">
        <f t="shared" ref="B54:J54" si="6">+B12</f>
        <v>67957914</v>
      </c>
      <c r="C54" s="300">
        <f t="shared" si="6"/>
        <v>100009742</v>
      </c>
      <c r="D54" s="300">
        <f t="shared" si="6"/>
        <v>112723630</v>
      </c>
      <c r="E54" s="300">
        <f t="shared" si="6"/>
        <v>98620151</v>
      </c>
      <c r="F54" s="300">
        <f t="shared" si="6"/>
        <v>80538184.491180688</v>
      </c>
      <c r="G54" s="300">
        <f t="shared" si="6"/>
        <v>94797437.950162798</v>
      </c>
      <c r="H54" s="300">
        <f t="shared" si="6"/>
        <v>109056691.40914491</v>
      </c>
      <c r="I54" s="300">
        <f t="shared" si="6"/>
        <v>123315944.868127</v>
      </c>
      <c r="J54" s="301">
        <f t="shared" si="6"/>
        <v>137575198.3271091</v>
      </c>
    </row>
    <row r="55" spans="1:10" ht="15.75" x14ac:dyDescent="0.25">
      <c r="A55" s="287" t="s">
        <v>345</v>
      </c>
      <c r="B55" s="295">
        <v>0</v>
      </c>
      <c r="C55" s="295">
        <v>0</v>
      </c>
      <c r="D55" s="295">
        <v>0</v>
      </c>
      <c r="E55" s="295">
        <v>0</v>
      </c>
      <c r="F55" s="295">
        <v>0</v>
      </c>
      <c r="G55" s="295">
        <v>0</v>
      </c>
      <c r="H55" s="295">
        <v>0</v>
      </c>
      <c r="I55" s="295">
        <v>0</v>
      </c>
      <c r="J55" s="296">
        <v>0</v>
      </c>
    </row>
    <row r="56" spans="1:10" ht="15.75" x14ac:dyDescent="0.25">
      <c r="A56" s="287" t="s">
        <v>346</v>
      </c>
      <c r="B56" s="295">
        <f t="shared" ref="B56:J56" si="7">+B51+B52-B53-B54-B55</f>
        <v>-101285435</v>
      </c>
      <c r="C56" s="295">
        <f t="shared" si="7"/>
        <v>-163763374</v>
      </c>
      <c r="D56" s="295">
        <f t="shared" si="7"/>
        <v>-15047408</v>
      </c>
      <c r="E56" s="295">
        <f t="shared" si="7"/>
        <v>253423467</v>
      </c>
      <c r="F56" s="295">
        <f t="shared" si="7"/>
        <v>612498548.00881934</v>
      </c>
      <c r="G56" s="295">
        <f t="shared" si="7"/>
        <v>1038826699.249837</v>
      </c>
      <c r="H56" s="295">
        <f t="shared" si="7"/>
        <v>1564473140.6908545</v>
      </c>
      <c r="I56" s="295">
        <f t="shared" si="7"/>
        <v>2189437872.3318729</v>
      </c>
      <c r="J56" s="296">
        <f t="shared" si="7"/>
        <v>2913720894.1728907</v>
      </c>
    </row>
    <row r="57" spans="1:10" ht="15.75" x14ac:dyDescent="0.25">
      <c r="A57" s="287" t="s">
        <v>233</v>
      </c>
      <c r="B57" s="278">
        <f>+[2]PYG!C23</f>
        <v>2055000</v>
      </c>
      <c r="C57" s="278">
        <f>+[2]PYG!D23</f>
        <v>1390000</v>
      </c>
      <c r="D57" s="278">
        <f>+[2]PYG!E23</f>
        <v>59789000</v>
      </c>
      <c r="E57" s="278">
        <f>+[2]PYG!F23</f>
        <v>79732000</v>
      </c>
      <c r="F57" s="278">
        <f>+[2]PYG!G23</f>
        <v>108599000</v>
      </c>
      <c r="G57" s="278">
        <f>+[2]PYG!H23</f>
        <v>137742000</v>
      </c>
      <c r="H57" s="278">
        <f>+[2]PYG!I23</f>
        <v>166885000</v>
      </c>
      <c r="I57" s="278">
        <f>+[2]PYG!J23</f>
        <v>196028000</v>
      </c>
      <c r="J57" s="282">
        <f>+[2]PYG!K23</f>
        <v>225171000</v>
      </c>
    </row>
    <row r="58" spans="1:10" ht="15.75" x14ac:dyDescent="0.25">
      <c r="A58" s="287" t="s">
        <v>347</v>
      </c>
      <c r="B58" s="295">
        <f t="shared" ref="B58:J58" si="8">+B56-B57</f>
        <v>-103340435</v>
      </c>
      <c r="C58" s="295">
        <f t="shared" si="8"/>
        <v>-165153374</v>
      </c>
      <c r="D58" s="295">
        <f t="shared" si="8"/>
        <v>-74836408</v>
      </c>
      <c r="E58" s="295">
        <f t="shared" si="8"/>
        <v>173691467</v>
      </c>
      <c r="F58" s="295">
        <f t="shared" si="8"/>
        <v>503899548.00881934</v>
      </c>
      <c r="G58" s="295">
        <f t="shared" si="8"/>
        <v>901084699.24983704</v>
      </c>
      <c r="H58" s="295">
        <f t="shared" si="8"/>
        <v>1397588140.6908545</v>
      </c>
      <c r="I58" s="295">
        <f t="shared" si="8"/>
        <v>1993409872.3318729</v>
      </c>
      <c r="J58" s="296">
        <f t="shared" si="8"/>
        <v>2688549894.1728907</v>
      </c>
    </row>
    <row r="59" spans="1:10" ht="15.75" x14ac:dyDescent="0.25">
      <c r="A59" s="287" t="s">
        <v>344</v>
      </c>
      <c r="B59" s="295">
        <f t="shared" ref="B59:J59" si="9">+B12</f>
        <v>67957914</v>
      </c>
      <c r="C59" s="295">
        <f t="shared" si="9"/>
        <v>100009742</v>
      </c>
      <c r="D59" s="295">
        <f t="shared" si="9"/>
        <v>112723630</v>
      </c>
      <c r="E59" s="295">
        <f t="shared" si="9"/>
        <v>98620151</v>
      </c>
      <c r="F59" s="295">
        <f t="shared" si="9"/>
        <v>80538184.491180688</v>
      </c>
      <c r="G59" s="295">
        <f t="shared" si="9"/>
        <v>94797437.950162798</v>
      </c>
      <c r="H59" s="295">
        <f t="shared" si="9"/>
        <v>109056691.40914491</v>
      </c>
      <c r="I59" s="295">
        <f t="shared" si="9"/>
        <v>123315944.868127</v>
      </c>
      <c r="J59" s="296">
        <f t="shared" si="9"/>
        <v>137575198.3271091</v>
      </c>
    </row>
    <row r="60" spans="1:10" ht="16.5" thickBot="1" x14ac:dyDescent="0.3">
      <c r="A60" s="287" t="s">
        <v>246</v>
      </c>
      <c r="B60" s="295">
        <f t="shared" ref="B60:J60" si="10">+B27</f>
        <v>0</v>
      </c>
      <c r="C60" s="295">
        <f t="shared" si="10"/>
        <v>0</v>
      </c>
      <c r="D60" s="295">
        <f t="shared" si="10"/>
        <v>0</v>
      </c>
      <c r="E60" s="295">
        <f t="shared" si="10"/>
        <v>0</v>
      </c>
      <c r="F60" s="295">
        <f t="shared" si="10"/>
        <v>0</v>
      </c>
      <c r="G60" s="295">
        <f t="shared" si="10"/>
        <v>0</v>
      </c>
      <c r="H60" s="295">
        <f t="shared" si="10"/>
        <v>0</v>
      </c>
      <c r="I60" s="295">
        <f t="shared" si="10"/>
        <v>0</v>
      </c>
      <c r="J60" s="296">
        <f t="shared" si="10"/>
        <v>0</v>
      </c>
    </row>
    <row r="61" spans="1:10" ht="16.5" thickBot="1" x14ac:dyDescent="0.3">
      <c r="A61" s="302" t="s">
        <v>225</v>
      </c>
      <c r="B61" s="303">
        <f t="shared" ref="B61:J61" si="11">+B58+B59</f>
        <v>-35382521</v>
      </c>
      <c r="C61" s="303">
        <f t="shared" si="11"/>
        <v>-65143632</v>
      </c>
      <c r="D61" s="303">
        <f t="shared" si="11"/>
        <v>37887222</v>
      </c>
      <c r="E61" s="303">
        <f t="shared" si="11"/>
        <v>272311618</v>
      </c>
      <c r="F61" s="303">
        <f t="shared" si="11"/>
        <v>584437732.5</v>
      </c>
      <c r="G61" s="303">
        <f t="shared" si="11"/>
        <v>995882137.19999981</v>
      </c>
      <c r="H61" s="303">
        <f t="shared" si="11"/>
        <v>1506644832.0999994</v>
      </c>
      <c r="I61" s="303">
        <f t="shared" si="11"/>
        <v>2116725817.2</v>
      </c>
      <c r="J61" s="304">
        <f t="shared" si="11"/>
        <v>2826125092.5</v>
      </c>
    </row>
    <row r="62" spans="1:10" ht="16.5" thickBot="1" x14ac:dyDescent="0.3">
      <c r="A62" s="305" t="s">
        <v>326</v>
      </c>
      <c r="B62" s="303">
        <f>+[2]PYG!C25-'CASH FLOW'!B61</f>
        <v>-16990062</v>
      </c>
      <c r="C62" s="303">
        <f>+[2]PYG!D25-'CASH FLOW'!C61</f>
        <v>35382521</v>
      </c>
      <c r="D62" s="303">
        <f>+[2]PYG!E25-'CASH FLOW'!D61</f>
        <v>65143632</v>
      </c>
      <c r="E62" s="303">
        <f>+[2]PYG!F25-'CASH FLOW'!E61</f>
        <v>-37887222</v>
      </c>
      <c r="F62" s="303">
        <f>+[2]PYG!G25-'CASH FLOW'!F61</f>
        <v>-272311618</v>
      </c>
      <c r="G62" s="303">
        <f>+[2]PYG!H25-'CASH FLOW'!G61</f>
        <v>-584437732.49999988</v>
      </c>
      <c r="H62" s="303">
        <f>+[2]PYG!I25-'CASH FLOW'!H61</f>
        <v>-995882137.19999909</v>
      </c>
      <c r="I62" s="303">
        <f>+[2]PYG!J25-'CASH FLOW'!I61</f>
        <v>-1506644832.1000004</v>
      </c>
      <c r="J62" s="304">
        <f>+[2]PYG!K25-'CASH FLOW'!J61</f>
        <v>-2116725817.2000008</v>
      </c>
    </row>
    <row r="63" spans="1:10" ht="15.75" x14ac:dyDescent="0.25">
      <c r="A63" s="306"/>
      <c r="B63" s="307"/>
    </row>
    <row r="64" spans="1:10" x14ac:dyDescent="0.25">
      <c r="A64" s="360" t="s">
        <v>348</v>
      </c>
      <c r="B64" s="351" t="s">
        <v>0</v>
      </c>
      <c r="C64" s="351"/>
      <c r="D64" s="351"/>
      <c r="E64" s="351"/>
      <c r="F64" s="351" t="s">
        <v>316</v>
      </c>
      <c r="G64" s="351"/>
      <c r="H64" s="351"/>
      <c r="I64" s="351"/>
      <c r="J64" s="351"/>
    </row>
    <row r="65" spans="1:10" x14ac:dyDescent="0.25">
      <c r="A65" s="360"/>
      <c r="B65" s="351"/>
      <c r="C65" s="351"/>
      <c r="D65" s="351"/>
      <c r="E65" s="351"/>
      <c r="F65" s="351"/>
      <c r="G65" s="351"/>
      <c r="H65" s="351"/>
      <c r="I65" s="351"/>
      <c r="J65" s="351"/>
    </row>
    <row r="66" spans="1:10" x14ac:dyDescent="0.25">
      <c r="A66" s="360"/>
      <c r="B66" s="351"/>
      <c r="C66" s="351"/>
      <c r="D66" s="351"/>
      <c r="E66" s="351"/>
      <c r="F66" s="351"/>
      <c r="G66" s="351"/>
      <c r="H66" s="351"/>
      <c r="I66" s="351"/>
      <c r="J66" s="351"/>
    </row>
    <row r="67" spans="1:10" ht="15.75" thickBot="1" x14ac:dyDescent="0.3">
      <c r="A67" s="361"/>
      <c r="B67" s="285">
        <v>2017</v>
      </c>
      <c r="C67" s="285">
        <v>2018</v>
      </c>
      <c r="D67" s="285">
        <v>2019</v>
      </c>
      <c r="E67" s="285">
        <v>2020</v>
      </c>
      <c r="F67" s="285">
        <v>2021</v>
      </c>
      <c r="G67" s="285">
        <v>2022</v>
      </c>
      <c r="H67" s="285">
        <v>2023</v>
      </c>
      <c r="I67" s="285">
        <v>2024</v>
      </c>
      <c r="J67" s="285">
        <v>2025</v>
      </c>
    </row>
    <row r="68" spans="1:10" ht="16.5" thickBot="1" x14ac:dyDescent="0.3">
      <c r="A68" s="287" t="s">
        <v>349</v>
      </c>
      <c r="B68" s="308">
        <f>+B9</f>
        <v>137377767</v>
      </c>
      <c r="C68" s="308">
        <f t="shared" ref="C68:J68" si="12">+C9</f>
        <v>153532529</v>
      </c>
      <c r="D68" s="308">
        <f t="shared" si="12"/>
        <v>176225568</v>
      </c>
      <c r="E68" s="308">
        <f t="shared" si="12"/>
        <v>269881930</v>
      </c>
      <c r="F68" s="308">
        <f t="shared" si="12"/>
        <v>149758704.41690481</v>
      </c>
      <c r="G68" s="308">
        <f t="shared" si="12"/>
        <v>176273423.33515</v>
      </c>
      <c r="H68" s="308">
        <f t="shared" si="12"/>
        <v>202788142.25339517</v>
      </c>
      <c r="I68" s="308">
        <f t="shared" si="12"/>
        <v>229302861.17164034</v>
      </c>
      <c r="J68" s="308">
        <f t="shared" si="12"/>
        <v>255817580.0898855</v>
      </c>
    </row>
    <row r="69" spans="1:10" s="284" customFormat="1" ht="16.5" thickBot="1" x14ac:dyDescent="0.3">
      <c r="A69" s="305" t="s">
        <v>350</v>
      </c>
      <c r="B69" s="309">
        <f>+B68</f>
        <v>137377767</v>
      </c>
      <c r="C69" s="309">
        <f t="shared" ref="C69:J69" si="13">+C68</f>
        <v>153532529</v>
      </c>
      <c r="D69" s="309">
        <f t="shared" si="13"/>
        <v>176225568</v>
      </c>
      <c r="E69" s="309">
        <f t="shared" si="13"/>
        <v>269881930</v>
      </c>
      <c r="F69" s="309">
        <f t="shared" si="13"/>
        <v>149758704.41690481</v>
      </c>
      <c r="G69" s="309">
        <f t="shared" si="13"/>
        <v>176273423.33515</v>
      </c>
      <c r="H69" s="309">
        <f t="shared" si="13"/>
        <v>202788142.25339517</v>
      </c>
      <c r="I69" s="309">
        <f t="shared" si="13"/>
        <v>229302861.17164034</v>
      </c>
      <c r="J69" s="310">
        <f t="shared" si="13"/>
        <v>255817580.0898855</v>
      </c>
    </row>
    <row r="71" spans="1:10" x14ac:dyDescent="0.25">
      <c r="A71" s="360" t="s">
        <v>242</v>
      </c>
      <c r="B71" s="351" t="s">
        <v>0</v>
      </c>
      <c r="C71" s="351"/>
      <c r="D71" s="351"/>
      <c r="E71" s="351"/>
      <c r="F71" s="351" t="s">
        <v>316</v>
      </c>
      <c r="G71" s="351"/>
      <c r="H71" s="351"/>
      <c r="I71" s="351"/>
      <c r="J71" s="351"/>
    </row>
    <row r="72" spans="1:10" x14ac:dyDescent="0.25">
      <c r="A72" s="360"/>
      <c r="B72" s="351"/>
      <c r="C72" s="351"/>
      <c r="D72" s="351"/>
      <c r="E72" s="351"/>
      <c r="F72" s="351"/>
      <c r="G72" s="351"/>
      <c r="H72" s="351"/>
      <c r="I72" s="351"/>
      <c r="J72" s="351"/>
    </row>
    <row r="73" spans="1:10" x14ac:dyDescent="0.25">
      <c r="A73" s="360"/>
      <c r="B73" s="351"/>
      <c r="C73" s="351"/>
      <c r="D73" s="351"/>
      <c r="E73" s="351"/>
      <c r="F73" s="351"/>
      <c r="G73" s="351"/>
      <c r="H73" s="351"/>
      <c r="I73" s="351"/>
      <c r="J73" s="351"/>
    </row>
    <row r="74" spans="1:10" ht="15.75" thickBot="1" x14ac:dyDescent="0.3">
      <c r="A74" s="361"/>
      <c r="B74" s="285">
        <v>2017</v>
      </c>
      <c r="C74" s="285">
        <v>2018</v>
      </c>
      <c r="D74" s="285">
        <v>2019</v>
      </c>
      <c r="E74" s="285">
        <v>2020</v>
      </c>
      <c r="F74" s="285">
        <v>2021</v>
      </c>
      <c r="G74" s="285">
        <v>2022</v>
      </c>
      <c r="H74" s="285">
        <v>2023</v>
      </c>
      <c r="I74" s="285">
        <v>2024</v>
      </c>
      <c r="J74" s="285">
        <v>2025</v>
      </c>
    </row>
    <row r="75" spans="1:10" ht="15.75" x14ac:dyDescent="0.25">
      <c r="A75" s="287" t="s">
        <v>236</v>
      </c>
      <c r="B75" s="308">
        <f>+B61</f>
        <v>-35382521</v>
      </c>
      <c r="C75" s="308">
        <f>+C61</f>
        <v>-65143632</v>
      </c>
      <c r="D75" s="308">
        <f>+D61</f>
        <v>37887222</v>
      </c>
      <c r="E75" s="308">
        <f t="shared" ref="E75:J75" si="14">+E61</f>
        <v>272311618</v>
      </c>
      <c r="F75" s="308">
        <f t="shared" si="14"/>
        <v>584437732.5</v>
      </c>
      <c r="G75" s="308">
        <f t="shared" si="14"/>
        <v>995882137.19999981</v>
      </c>
      <c r="H75" s="308">
        <f t="shared" si="14"/>
        <v>1506644832.0999994</v>
      </c>
      <c r="I75" s="308">
        <f t="shared" si="14"/>
        <v>2116725817.2</v>
      </c>
      <c r="J75" s="308">
        <f t="shared" si="14"/>
        <v>2826125092.5</v>
      </c>
    </row>
    <row r="76" spans="1:10" ht="16.5" thickBot="1" x14ac:dyDescent="0.3">
      <c r="A76" s="287" t="s">
        <v>243</v>
      </c>
      <c r="B76" s="311">
        <f>+B69</f>
        <v>137377767</v>
      </c>
      <c r="C76" s="311">
        <f t="shared" ref="C76:J76" si="15">+C69</f>
        <v>153532529</v>
      </c>
      <c r="D76" s="311">
        <f t="shared" si="15"/>
        <v>176225568</v>
      </c>
      <c r="E76" s="311">
        <f t="shared" si="15"/>
        <v>269881930</v>
      </c>
      <c r="F76" s="311">
        <f t="shared" si="15"/>
        <v>149758704.41690481</v>
      </c>
      <c r="G76" s="311">
        <f t="shared" si="15"/>
        <v>176273423.33515</v>
      </c>
      <c r="H76" s="311">
        <f t="shared" si="15"/>
        <v>202788142.25339517</v>
      </c>
      <c r="I76" s="311">
        <f t="shared" si="15"/>
        <v>229302861.17164034</v>
      </c>
      <c r="J76" s="311">
        <f t="shared" si="15"/>
        <v>255817580.0898855</v>
      </c>
    </row>
    <row r="77" spans="1:10" ht="16.5" thickBot="1" x14ac:dyDescent="0.3">
      <c r="A77" s="302" t="s">
        <v>242</v>
      </c>
      <c r="B77" s="303">
        <f>B75-B76</f>
        <v>-172760288</v>
      </c>
      <c r="C77" s="303">
        <f>C75-C76</f>
        <v>-218676161</v>
      </c>
      <c r="D77" s="303">
        <f>D75-D76</f>
        <v>-138338346</v>
      </c>
      <c r="E77" s="303">
        <f t="shared" ref="E77:J77" si="16">+E75-E76</f>
        <v>2429688</v>
      </c>
      <c r="F77" s="303">
        <f t="shared" si="16"/>
        <v>434679028.08309519</v>
      </c>
      <c r="G77" s="303">
        <f t="shared" si="16"/>
        <v>819608713.86484981</v>
      </c>
      <c r="H77" s="303">
        <f t="shared" si="16"/>
        <v>1303856689.8466043</v>
      </c>
      <c r="I77" s="303">
        <f t="shared" si="16"/>
        <v>1887422956.0283597</v>
      </c>
      <c r="J77" s="304">
        <f t="shared" si="16"/>
        <v>2570307512.4101143</v>
      </c>
    </row>
    <row r="79" spans="1:10" x14ac:dyDescent="0.25">
      <c r="A79" s="360" t="s">
        <v>131</v>
      </c>
      <c r="B79" s="351" t="s">
        <v>0</v>
      </c>
      <c r="C79" s="351"/>
      <c r="D79" s="351"/>
      <c r="E79" s="351"/>
      <c r="F79" s="351" t="s">
        <v>316</v>
      </c>
      <c r="G79" s="351"/>
      <c r="H79" s="351"/>
      <c r="I79" s="351"/>
      <c r="J79" s="351"/>
    </row>
    <row r="80" spans="1:10" x14ac:dyDescent="0.25">
      <c r="A80" s="360"/>
      <c r="B80" s="351"/>
      <c r="C80" s="351"/>
      <c r="D80" s="351"/>
      <c r="E80" s="351"/>
      <c r="F80" s="351"/>
      <c r="G80" s="351"/>
      <c r="H80" s="351"/>
      <c r="I80" s="351"/>
      <c r="J80" s="351"/>
    </row>
    <row r="81" spans="1:10" x14ac:dyDescent="0.25">
      <c r="A81" s="360"/>
      <c r="B81" s="351"/>
      <c r="C81" s="351"/>
      <c r="D81" s="351"/>
      <c r="E81" s="351"/>
      <c r="F81" s="351"/>
      <c r="G81" s="351"/>
      <c r="H81" s="351"/>
      <c r="I81" s="351"/>
      <c r="J81" s="351"/>
    </row>
    <row r="82" spans="1:10" ht="15.75" thickBot="1" x14ac:dyDescent="0.3">
      <c r="A82" s="361"/>
      <c r="B82" s="285">
        <v>2017</v>
      </c>
      <c r="C82" s="285">
        <v>2018</v>
      </c>
      <c r="D82" s="285">
        <v>2019</v>
      </c>
      <c r="E82" s="285">
        <v>2020</v>
      </c>
      <c r="F82" s="285">
        <v>2021</v>
      </c>
      <c r="G82" s="285">
        <v>2022</v>
      </c>
      <c r="H82" s="285">
        <v>2023</v>
      </c>
      <c r="I82" s="285">
        <v>2024</v>
      </c>
      <c r="J82" s="285">
        <v>2025</v>
      </c>
    </row>
    <row r="83" spans="1:10" ht="15.75" x14ac:dyDescent="0.25">
      <c r="A83" s="287" t="s">
        <v>245</v>
      </c>
      <c r="B83" s="308">
        <f>+B77</f>
        <v>-172760288</v>
      </c>
      <c r="C83" s="308">
        <f t="shared" ref="C83:J83" si="17">+C77</f>
        <v>-218676161</v>
      </c>
      <c r="D83" s="308">
        <f t="shared" si="17"/>
        <v>-138338346</v>
      </c>
      <c r="E83" s="308">
        <f t="shared" si="17"/>
        <v>2429688</v>
      </c>
      <c r="F83" s="308">
        <f t="shared" si="17"/>
        <v>434679028.08309519</v>
      </c>
      <c r="G83" s="308">
        <f t="shared" si="17"/>
        <v>819608713.86484981</v>
      </c>
      <c r="H83" s="308">
        <f t="shared" si="17"/>
        <v>1303856689.8466043</v>
      </c>
      <c r="I83" s="308">
        <f t="shared" si="17"/>
        <v>1887422956.0283597</v>
      </c>
      <c r="J83" s="308">
        <f t="shared" si="17"/>
        <v>2570307512.4101143</v>
      </c>
    </row>
    <row r="84" spans="1:10" ht="15.75" x14ac:dyDescent="0.25">
      <c r="A84" s="287" t="s">
        <v>240</v>
      </c>
      <c r="B84" s="311">
        <f>+B23</f>
        <v>0</v>
      </c>
      <c r="C84" s="311">
        <f t="shared" ref="C84:J84" si="18">+C23</f>
        <v>0</v>
      </c>
      <c r="D84" s="311">
        <f t="shared" si="18"/>
        <v>0</v>
      </c>
      <c r="E84" s="311">
        <f t="shared" si="18"/>
        <v>0</v>
      </c>
      <c r="F84" s="311">
        <f t="shared" si="18"/>
        <v>0</v>
      </c>
      <c r="G84" s="311">
        <f t="shared" si="18"/>
        <v>0</v>
      </c>
      <c r="H84" s="311">
        <f t="shared" si="18"/>
        <v>0</v>
      </c>
      <c r="I84" s="311">
        <f t="shared" si="18"/>
        <v>0</v>
      </c>
      <c r="J84" s="311">
        <f t="shared" si="18"/>
        <v>0</v>
      </c>
    </row>
    <row r="85" spans="1:10" ht="15.75" x14ac:dyDescent="0.25">
      <c r="A85" s="287" t="s">
        <v>200</v>
      </c>
      <c r="B85" s="286">
        <f>+B55</f>
        <v>0</v>
      </c>
      <c r="C85" s="286">
        <f t="shared" ref="C85:J85" si="19">+C55</f>
        <v>0</v>
      </c>
      <c r="D85" s="286">
        <f t="shared" si="19"/>
        <v>0</v>
      </c>
      <c r="E85" s="286">
        <f t="shared" si="19"/>
        <v>0</v>
      </c>
      <c r="F85" s="286">
        <f t="shared" si="19"/>
        <v>0</v>
      </c>
      <c r="G85" s="286">
        <f t="shared" si="19"/>
        <v>0</v>
      </c>
      <c r="H85" s="286">
        <f t="shared" si="19"/>
        <v>0</v>
      </c>
      <c r="I85" s="286">
        <f t="shared" si="19"/>
        <v>0</v>
      </c>
      <c r="J85" s="286">
        <f t="shared" si="19"/>
        <v>0</v>
      </c>
    </row>
    <row r="86" spans="1:10" ht="15.75" thickBot="1" x14ac:dyDescent="0.3">
      <c r="A86" s="283" t="s">
        <v>246</v>
      </c>
      <c r="B86" s="286">
        <f>+B27</f>
        <v>0</v>
      </c>
      <c r="C86" s="286">
        <f t="shared" ref="C86:J86" si="20">+C27</f>
        <v>0</v>
      </c>
      <c r="D86" s="286">
        <f t="shared" si="20"/>
        <v>0</v>
      </c>
      <c r="E86" s="286">
        <f t="shared" si="20"/>
        <v>0</v>
      </c>
      <c r="F86" s="286">
        <f t="shared" si="20"/>
        <v>0</v>
      </c>
      <c r="G86" s="286">
        <f t="shared" si="20"/>
        <v>0</v>
      </c>
      <c r="H86" s="286">
        <f t="shared" si="20"/>
        <v>0</v>
      </c>
      <c r="I86" s="286">
        <f t="shared" si="20"/>
        <v>0</v>
      </c>
      <c r="J86" s="286">
        <f t="shared" si="20"/>
        <v>0</v>
      </c>
    </row>
    <row r="87" spans="1:10" ht="16.5" thickBot="1" x14ac:dyDescent="0.3">
      <c r="A87" s="302" t="s">
        <v>244</v>
      </c>
      <c r="B87" s="303">
        <f>+B83-B84+B85+B86</f>
        <v>-172760288</v>
      </c>
      <c r="C87" s="303">
        <f t="shared" ref="C87:J87" si="21">+C83-C84+C85+C86</f>
        <v>-218676161</v>
      </c>
      <c r="D87" s="303">
        <f t="shared" si="21"/>
        <v>-138338346</v>
      </c>
      <c r="E87" s="303">
        <f t="shared" si="21"/>
        <v>2429688</v>
      </c>
      <c r="F87" s="303">
        <f t="shared" si="21"/>
        <v>434679028.08309519</v>
      </c>
      <c r="G87" s="303">
        <f t="shared" si="21"/>
        <v>819608713.86484981</v>
      </c>
      <c r="H87" s="303">
        <f t="shared" si="21"/>
        <v>1303856689.8466043</v>
      </c>
      <c r="I87" s="303">
        <f t="shared" si="21"/>
        <v>1887422956.0283597</v>
      </c>
      <c r="J87" s="304">
        <f t="shared" si="21"/>
        <v>2570307512.4101143</v>
      </c>
    </row>
  </sheetData>
  <mergeCells count="24">
    <mergeCell ref="A71:A74"/>
    <mergeCell ref="B71:E73"/>
    <mergeCell ref="F71:J73"/>
    <mergeCell ref="A79:A82"/>
    <mergeCell ref="B79:E81"/>
    <mergeCell ref="F79:J81"/>
    <mergeCell ref="A47:A50"/>
    <mergeCell ref="B47:E49"/>
    <mergeCell ref="F47:J49"/>
    <mergeCell ref="A64:A67"/>
    <mergeCell ref="B64:E66"/>
    <mergeCell ref="F64:J66"/>
    <mergeCell ref="A29:A32"/>
    <mergeCell ref="B29:E31"/>
    <mergeCell ref="F29:J31"/>
    <mergeCell ref="A38:A41"/>
    <mergeCell ref="B38:E40"/>
    <mergeCell ref="F38:J40"/>
    <mergeCell ref="A1:A4"/>
    <mergeCell ref="B1:E3"/>
    <mergeCell ref="F1:J3"/>
    <mergeCell ref="A19:A22"/>
    <mergeCell ref="B19:E21"/>
    <mergeCell ref="F19:J2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9"/>
  <sheetViews>
    <sheetView showGridLines="0" zoomScale="85" zoomScaleNormal="85" workbookViewId="0">
      <selection activeCell="H66" sqref="H66"/>
    </sheetView>
  </sheetViews>
  <sheetFormatPr baseColWidth="10" defaultRowHeight="15" x14ac:dyDescent="0.25"/>
  <cols>
    <col min="1" max="1" width="58.5703125" bestFit="1" customWidth="1"/>
    <col min="2" max="2" width="23.140625" bestFit="1" customWidth="1"/>
    <col min="3" max="3" width="14.5703125" customWidth="1"/>
    <col min="4" max="4" width="16.85546875" bestFit="1" customWidth="1"/>
    <col min="5" max="6" width="19.28515625" bestFit="1" customWidth="1"/>
    <col min="7" max="7" width="18.5703125" customWidth="1"/>
    <col min="8" max="8" width="25.42578125" customWidth="1"/>
    <col min="9" max="9" width="11.42578125" customWidth="1"/>
    <col min="10" max="12" width="7.7109375" bestFit="1" customWidth="1"/>
    <col min="13" max="13" width="14.7109375" bestFit="1" customWidth="1"/>
    <col min="14" max="14" width="9.28515625" bestFit="1" customWidth="1"/>
    <col min="15" max="15" width="14.7109375" bestFit="1" customWidth="1"/>
    <col min="16" max="18" width="9.28515625" bestFit="1" customWidth="1"/>
  </cols>
  <sheetData>
    <row r="1" spans="1:18" x14ac:dyDescent="0.25">
      <c r="A1" s="1" t="s">
        <v>40</v>
      </c>
    </row>
    <row r="2" spans="1:18" x14ac:dyDescent="0.25">
      <c r="A2" s="1" t="s">
        <v>82</v>
      </c>
    </row>
    <row r="3" spans="1:18" x14ac:dyDescent="0.25">
      <c r="A3" s="1" t="s">
        <v>1</v>
      </c>
    </row>
    <row r="8" spans="1:18" x14ac:dyDescent="0.25">
      <c r="A8" s="363" t="s">
        <v>83</v>
      </c>
      <c r="B8" s="102"/>
    </row>
    <row r="9" spans="1:18" x14ac:dyDescent="0.25">
      <c r="A9" s="363"/>
      <c r="B9" s="2">
        <v>2021</v>
      </c>
      <c r="C9" s="2">
        <v>2022</v>
      </c>
      <c r="D9" s="2">
        <v>2023</v>
      </c>
      <c r="E9" s="2">
        <v>2024</v>
      </c>
      <c r="F9" s="2">
        <v>2025</v>
      </c>
      <c r="G9" s="285">
        <v>34159089000</v>
      </c>
      <c r="H9" s="291">
        <f>+(G9/G10)-1</f>
        <v>0.1953986756862014</v>
      </c>
      <c r="M9" s="362" t="s">
        <v>365</v>
      </c>
      <c r="N9" s="362"/>
      <c r="O9" s="362"/>
      <c r="P9" s="362"/>
      <c r="Q9" s="362"/>
      <c r="R9" s="362"/>
    </row>
    <row r="10" spans="1:18" x14ac:dyDescent="0.25">
      <c r="A10" s="103" t="s">
        <v>84</v>
      </c>
      <c r="B10" s="104">
        <f>+PYG!G32</f>
        <v>4220588611.5</v>
      </c>
      <c r="C10" s="104">
        <f>+PYG!H32</f>
        <v>4967842142.7000008</v>
      </c>
      <c r="D10" s="104">
        <f>+PYG!I32</f>
        <v>5715095673.9000006</v>
      </c>
      <c r="E10" s="104">
        <f>+PYG!J32</f>
        <v>6462349205.1000004</v>
      </c>
      <c r="F10" s="104">
        <f>+PYG!K32</f>
        <v>7209602736.3000002</v>
      </c>
      <c r="G10" s="286">
        <f>+SUM(B10:F10)</f>
        <v>28575478369.500004</v>
      </c>
      <c r="H10" s="291">
        <f>+(F10/B10)-1</f>
        <v>0.70819840546783408</v>
      </c>
      <c r="J10" s="291">
        <f>+(F10/B10)-1</f>
        <v>0.70819840546783408</v>
      </c>
      <c r="M10" s="238"/>
      <c r="N10" s="237">
        <v>2021</v>
      </c>
      <c r="O10" s="237">
        <v>2022</v>
      </c>
      <c r="P10" s="237">
        <v>2023</v>
      </c>
      <c r="Q10" s="237">
        <v>2024</v>
      </c>
      <c r="R10" s="237">
        <v>2025</v>
      </c>
    </row>
    <row r="11" spans="1:18" x14ac:dyDescent="0.25">
      <c r="A11" s="103" t="s">
        <v>85</v>
      </c>
      <c r="B11" s="104">
        <f>+PYG!G33</f>
        <v>2521290322.5</v>
      </c>
      <c r="C11" s="104">
        <f>+PYG!H33</f>
        <v>3202449596.1000004</v>
      </c>
      <c r="D11" s="104">
        <f>+PYG!I33</f>
        <v>3883608869.6999998</v>
      </c>
      <c r="E11" s="104">
        <f>+PYG!J33</f>
        <v>4564768143.3000002</v>
      </c>
      <c r="F11" s="104">
        <f>+PYG!K33</f>
        <v>5245927416.9000006</v>
      </c>
      <c r="G11" s="286">
        <f>+SUM(B11:F11)</f>
        <v>19418044348.5</v>
      </c>
      <c r="H11" s="291">
        <f>+(F11/B11)-1</f>
        <v>1.0806518670560599</v>
      </c>
      <c r="M11" s="202" t="s">
        <v>86</v>
      </c>
      <c r="N11" s="202">
        <f>+B12</f>
        <v>1699298289</v>
      </c>
      <c r="O11" s="202">
        <f t="shared" ref="O11:R11" si="0">+C12</f>
        <v>1765392546.6000004</v>
      </c>
      <c r="P11" s="202">
        <f t="shared" si="0"/>
        <v>1831486804.2000008</v>
      </c>
      <c r="Q11" s="202">
        <f t="shared" si="0"/>
        <v>1897581061.8000002</v>
      </c>
      <c r="R11" s="202">
        <f t="shared" si="0"/>
        <v>1963675319.3999996</v>
      </c>
    </row>
    <row r="12" spans="1:18" x14ac:dyDescent="0.25">
      <c r="A12" s="105" t="s">
        <v>86</v>
      </c>
      <c r="B12" s="106">
        <f>+B10-B11</f>
        <v>1699298289</v>
      </c>
      <c r="C12" s="106">
        <f>+C10-C11</f>
        <v>1765392546.6000004</v>
      </c>
      <c r="D12" s="106">
        <f>+D10-D11</f>
        <v>1831486804.2000008</v>
      </c>
      <c r="E12" s="106">
        <f>+E10-E11</f>
        <v>1897581061.8000002</v>
      </c>
      <c r="F12" s="106">
        <f>+F10-F11</f>
        <v>1963675319.3999996</v>
      </c>
      <c r="G12" s="202">
        <v>8618350000</v>
      </c>
      <c r="H12" s="291">
        <f>+(G12/B10)-1</f>
        <v>1.0419782151990011</v>
      </c>
      <c r="M12" s="202" t="s">
        <v>366</v>
      </c>
      <c r="N12" s="346">
        <f>+B21</f>
        <v>420725114.5</v>
      </c>
      <c r="O12" s="346">
        <f t="shared" ref="O12:R12" si="1">+C21</f>
        <v>549186404.70000041</v>
      </c>
      <c r="P12" s="346">
        <f t="shared" si="1"/>
        <v>677647694.90000069</v>
      </c>
      <c r="Q12" s="346">
        <f t="shared" si="1"/>
        <v>806108985.10000026</v>
      </c>
      <c r="R12" s="346">
        <f t="shared" si="1"/>
        <v>934570275.29999959</v>
      </c>
    </row>
    <row r="13" spans="1:18" x14ac:dyDescent="0.25">
      <c r="A13" s="105" t="s">
        <v>87</v>
      </c>
      <c r="B13" s="107">
        <f>+B12/B10</f>
        <v>0.40262116150573324</v>
      </c>
      <c r="C13" s="107">
        <f>+C12/C10</f>
        <v>0.35536405865757181</v>
      </c>
      <c r="D13" s="107">
        <f>+D12/D10</f>
        <v>0.32046476711914568</v>
      </c>
      <c r="E13" s="107">
        <f>+E12/E10</f>
        <v>0.29363641635188242</v>
      </c>
      <c r="F13" s="107">
        <f>+F12/F10</f>
        <v>0.2723694205109235</v>
      </c>
      <c r="H13" s="294">
        <f>+H12-H10</f>
        <v>0.33377980973116705</v>
      </c>
      <c r="M13" s="202" t="s">
        <v>367</v>
      </c>
      <c r="N13" s="202">
        <f>+B24</f>
        <v>312126114.5</v>
      </c>
      <c r="O13" s="202">
        <f t="shared" ref="O13:R13" si="2">+C24</f>
        <v>411444404.70000041</v>
      </c>
      <c r="P13" s="202">
        <f t="shared" si="2"/>
        <v>510762694.90000069</v>
      </c>
      <c r="Q13" s="202">
        <f t="shared" si="2"/>
        <v>610080985.10000026</v>
      </c>
      <c r="R13" s="202">
        <f t="shared" si="2"/>
        <v>709399275.29999959</v>
      </c>
    </row>
    <row r="14" spans="1:18" x14ac:dyDescent="0.25">
      <c r="A14" s="103" t="s">
        <v>88</v>
      </c>
      <c r="B14" s="104">
        <f>+PYG!G36</f>
        <v>1287591148</v>
      </c>
      <c r="C14" s="104">
        <f>+PYG!H36</f>
        <v>1233208487.2</v>
      </c>
      <c r="D14" s="104">
        <f>+PYG!I36</f>
        <v>1178825826.4000001</v>
      </c>
      <c r="E14" s="104">
        <f>+PYG!J36</f>
        <v>1124443165.5999999</v>
      </c>
      <c r="F14" s="104">
        <f>+PYG!K36</f>
        <v>1070060504.8</v>
      </c>
      <c r="J14" s="286"/>
      <c r="K14" s="286"/>
      <c r="L14" s="286"/>
      <c r="M14" s="202"/>
      <c r="N14" s="237">
        <v>2021</v>
      </c>
      <c r="O14" s="237">
        <v>2022</v>
      </c>
      <c r="P14" s="237">
        <v>2023</v>
      </c>
      <c r="Q14" s="237">
        <v>2024</v>
      </c>
      <c r="R14" s="237">
        <v>2025</v>
      </c>
    </row>
    <row r="15" spans="1:18" x14ac:dyDescent="0.25">
      <c r="A15" s="105" t="s">
        <v>89</v>
      </c>
      <c r="B15" s="106">
        <f>+B12-B14</f>
        <v>411707141</v>
      </c>
      <c r="C15" s="106">
        <f>+C12-C14</f>
        <v>532184059.40000033</v>
      </c>
      <c r="D15" s="106">
        <f>+D12-D14</f>
        <v>652660977.80000067</v>
      </c>
      <c r="E15" s="106">
        <f>+E12-E14</f>
        <v>773137896.20000029</v>
      </c>
      <c r="F15" s="106">
        <f>+F12-F14</f>
        <v>893614814.59999967</v>
      </c>
      <c r="M15" s="202" t="s">
        <v>86</v>
      </c>
      <c r="N15" s="347">
        <f>+N11/B10</f>
        <v>0.40262116150573324</v>
      </c>
      <c r="O15" s="347">
        <f t="shared" ref="O15:R15" si="3">+O11/C10</f>
        <v>0.35536405865757181</v>
      </c>
      <c r="P15" s="347">
        <f t="shared" si="3"/>
        <v>0.32046476711914568</v>
      </c>
      <c r="Q15" s="347">
        <f t="shared" si="3"/>
        <v>0.29363641635188242</v>
      </c>
      <c r="R15" s="347">
        <f t="shared" si="3"/>
        <v>0.2723694205109235</v>
      </c>
    </row>
    <row r="16" spans="1:18" x14ac:dyDescent="0.25">
      <c r="A16" s="105" t="s">
        <v>57</v>
      </c>
      <c r="B16" s="107">
        <f>+B15/B10</f>
        <v>9.7547327848586274E-2</v>
      </c>
      <c r="C16" s="107">
        <f>+C15/C10</f>
        <v>0.10712579911219977</v>
      </c>
      <c r="D16" s="107">
        <f>+D15/D10</f>
        <v>0.11419948414522738</v>
      </c>
      <c r="E16" s="107">
        <f>+E15/E10</f>
        <v>0.11963728230437472</v>
      </c>
      <c r="F16" s="107">
        <f>+F15/F10</f>
        <v>0.12394785777872232</v>
      </c>
      <c r="M16" s="202" t="s">
        <v>366</v>
      </c>
      <c r="N16" s="347">
        <f>+N12/B10</f>
        <v>9.9683990368934355E-2</v>
      </c>
      <c r="O16" s="347">
        <f t="shared" ref="O16:R16" si="4">+O12/C10</f>
        <v>0.1105482801032643</v>
      </c>
      <c r="P16" s="347">
        <f t="shared" si="4"/>
        <v>0.11857153992971943</v>
      </c>
      <c r="Q16" s="347">
        <f t="shared" si="4"/>
        <v>0.12473931066179923</v>
      </c>
      <c r="R16" s="347">
        <f t="shared" si="4"/>
        <v>0.12962853980767672</v>
      </c>
    </row>
    <row r="17" spans="1:18" x14ac:dyDescent="0.25">
      <c r="A17" s="103" t="s">
        <v>90</v>
      </c>
      <c r="B17" s="104">
        <f>+PYG!G39</f>
        <v>22735514.5</v>
      </c>
      <c r="C17" s="104">
        <f>+PYG!H39</f>
        <v>27379505.700000003</v>
      </c>
      <c r="D17" s="104">
        <f>+PYG!I39</f>
        <v>32023496.900000002</v>
      </c>
      <c r="E17" s="104">
        <f>+PYG!J39</f>
        <v>36667488.100000001</v>
      </c>
      <c r="F17" s="104">
        <f>+PYG!K39</f>
        <v>41311479.300000004</v>
      </c>
      <c r="G17" s="37"/>
      <c r="M17" s="202" t="s">
        <v>367</v>
      </c>
      <c r="N17" s="347">
        <f>+N13/B10</f>
        <v>7.3953219143305743E-2</v>
      </c>
      <c r="O17" s="347">
        <f t="shared" ref="O17:R17" si="5">+O13/C10</f>
        <v>8.2821553680927182E-2</v>
      </c>
      <c r="P17" s="347">
        <f t="shared" si="5"/>
        <v>8.9370803927671522E-2</v>
      </c>
      <c r="Q17" s="347">
        <f t="shared" si="5"/>
        <v>9.4405450051899459E-2</v>
      </c>
      <c r="R17" s="347">
        <f t="shared" si="5"/>
        <v>9.8396444470956579E-2</v>
      </c>
    </row>
    <row r="18" spans="1:18" x14ac:dyDescent="0.25">
      <c r="A18" s="103" t="s">
        <v>91</v>
      </c>
      <c r="B18" s="104">
        <f>+PYG!G40</f>
        <v>0</v>
      </c>
      <c r="C18" s="104">
        <f>+PYG!H40</f>
        <v>0</v>
      </c>
      <c r="D18" s="104">
        <f>+PYG!I40</f>
        <v>0</v>
      </c>
      <c r="E18" s="104">
        <f>+PYG!J40</f>
        <v>0</v>
      </c>
      <c r="F18" s="104">
        <f>+PYG!K40</f>
        <v>0</v>
      </c>
      <c r="G18" s="37"/>
    </row>
    <row r="19" spans="1:18" x14ac:dyDescent="0.25">
      <c r="A19" s="103" t="s">
        <v>92</v>
      </c>
      <c r="B19" s="104">
        <f>+PYG!G41</f>
        <v>5031732</v>
      </c>
      <c r="C19" s="104">
        <f>+PYG!H41</f>
        <v>6533640.6000000015</v>
      </c>
      <c r="D19" s="104">
        <f>+PYG!I41</f>
        <v>8035549.2000000011</v>
      </c>
      <c r="E19" s="104">
        <f>+PYG!J41</f>
        <v>9537457.8000000007</v>
      </c>
      <c r="F19" s="104">
        <f>+PYG!K41</f>
        <v>11039366.4</v>
      </c>
      <c r="G19" s="37"/>
    </row>
    <row r="20" spans="1:18" x14ac:dyDescent="0.25">
      <c r="A20" s="103" t="s">
        <v>93</v>
      </c>
      <c r="B20" s="104">
        <f>+PYG!G42</f>
        <v>18749273</v>
      </c>
      <c r="C20" s="104">
        <f>+PYG!H42</f>
        <v>16910801</v>
      </c>
      <c r="D20" s="104">
        <f>+PYG!I42</f>
        <v>15072329</v>
      </c>
      <c r="E20" s="104">
        <f>+PYG!J42</f>
        <v>13233857</v>
      </c>
      <c r="F20" s="104">
        <f>+PYG!K42</f>
        <v>11395385</v>
      </c>
      <c r="G20" s="37"/>
    </row>
    <row r="21" spans="1:18" x14ac:dyDescent="0.25">
      <c r="A21" s="105" t="s">
        <v>94</v>
      </c>
      <c r="B21" s="106">
        <f>+B15+B17-B18+B19-B20</f>
        <v>420725114.5</v>
      </c>
      <c r="C21" s="106">
        <f>+C15+C17-C18+C19-C20</f>
        <v>549186404.70000041</v>
      </c>
      <c r="D21" s="106">
        <f>+D15+D17-D18+D19-D20</f>
        <v>677647694.90000069</v>
      </c>
      <c r="E21" s="106">
        <f>+E15+E17-E18+E19-E20</f>
        <v>806108985.10000026</v>
      </c>
      <c r="F21" s="106">
        <f>+F15+F17-F18+F19-F20</f>
        <v>934570275.29999959</v>
      </c>
    </row>
    <row r="22" spans="1:18" x14ac:dyDescent="0.25">
      <c r="A22" s="105" t="s">
        <v>59</v>
      </c>
      <c r="B22" s="107">
        <f>+B21/B10</f>
        <v>9.9683990368934355E-2</v>
      </c>
      <c r="C22" s="107">
        <f>+C21/C10</f>
        <v>0.1105482801032643</v>
      </c>
      <c r="D22" s="107">
        <f>+D21/D10</f>
        <v>0.11857153992971943</v>
      </c>
      <c r="E22" s="107">
        <f>+E21/E10</f>
        <v>0.12473931066179923</v>
      </c>
      <c r="F22" s="107">
        <f>+F21/F10</f>
        <v>0.12962853980767672</v>
      </c>
    </row>
    <row r="23" spans="1:18" x14ac:dyDescent="0.25">
      <c r="A23" s="103" t="s">
        <v>95</v>
      </c>
      <c r="B23" s="104">
        <f>+PYG!G45</f>
        <v>108599000</v>
      </c>
      <c r="C23" s="104">
        <f>+PYG!H45</f>
        <v>137742000</v>
      </c>
      <c r="D23" s="104">
        <f>+PYG!I45</f>
        <v>166885000</v>
      </c>
      <c r="E23" s="104">
        <f>+PYG!J45</f>
        <v>196028000</v>
      </c>
      <c r="F23" s="104">
        <f>+PYG!K45</f>
        <v>225171000</v>
      </c>
    </row>
    <row r="24" spans="1:18" x14ac:dyDescent="0.25">
      <c r="A24" s="105" t="s">
        <v>96</v>
      </c>
      <c r="B24" s="106">
        <f>+B21-B23</f>
        <v>312126114.5</v>
      </c>
      <c r="C24" s="106">
        <f>+C21-C23</f>
        <v>411444404.70000041</v>
      </c>
      <c r="D24" s="106">
        <f>+D21-D23</f>
        <v>510762694.90000069</v>
      </c>
      <c r="E24" s="106">
        <f>+E21-E23</f>
        <v>610080985.10000026</v>
      </c>
      <c r="F24" s="106">
        <f>+F21-F23</f>
        <v>709399275.29999959</v>
      </c>
    </row>
    <row r="25" spans="1:18" x14ac:dyDescent="0.25">
      <c r="A25" s="105" t="s">
        <v>97</v>
      </c>
      <c r="B25" s="107">
        <f>+B24/B10</f>
        <v>7.3953219143305743E-2</v>
      </c>
      <c r="C25" s="107">
        <f>+C24/C10</f>
        <v>8.2821553680927182E-2</v>
      </c>
      <c r="D25" s="107">
        <f>+D24/D10</f>
        <v>8.9370803927671522E-2</v>
      </c>
      <c r="E25" s="107">
        <f>+E24/E10</f>
        <v>9.4405450051899459E-2</v>
      </c>
      <c r="F25" s="107">
        <f>+F24/F10</f>
        <v>9.8396444470956579E-2</v>
      </c>
    </row>
    <row r="27" spans="1:18" x14ac:dyDescent="0.25">
      <c r="A27" s="363" t="s">
        <v>98</v>
      </c>
    </row>
    <row r="28" spans="1:18" x14ac:dyDescent="0.25">
      <c r="A28" s="363" t="s">
        <v>99</v>
      </c>
      <c r="B28">
        <v>10</v>
      </c>
    </row>
    <row r="29" spans="1:18" x14ac:dyDescent="0.25">
      <c r="A29" s="105" t="s">
        <v>100</v>
      </c>
      <c r="B29" s="108">
        <v>2021</v>
      </c>
      <c r="C29" s="108">
        <v>2022</v>
      </c>
      <c r="D29" s="108">
        <v>2023</v>
      </c>
      <c r="E29" s="108">
        <v>2024</v>
      </c>
      <c r="F29" s="108">
        <v>2025</v>
      </c>
      <c r="G29" s="37"/>
    </row>
    <row r="30" spans="1:18" x14ac:dyDescent="0.25">
      <c r="A30" s="103" t="s">
        <v>101</v>
      </c>
      <c r="B30" s="104">
        <v>0</v>
      </c>
      <c r="C30" s="104">
        <v>0</v>
      </c>
      <c r="D30" s="104">
        <v>0</v>
      </c>
      <c r="E30" s="104">
        <v>0</v>
      </c>
      <c r="F30" s="104">
        <v>0</v>
      </c>
      <c r="G30" s="37"/>
    </row>
    <row r="31" spans="1:18" x14ac:dyDescent="0.25">
      <c r="A31" s="109"/>
      <c r="B31" s="109"/>
      <c r="C31" s="109"/>
      <c r="D31" s="109"/>
      <c r="E31" s="109"/>
      <c r="F31" s="109"/>
    </row>
    <row r="32" spans="1:18" x14ac:dyDescent="0.25">
      <c r="A32" s="103" t="s">
        <v>102</v>
      </c>
      <c r="B32" s="104"/>
      <c r="C32" s="104"/>
      <c r="D32" s="104"/>
      <c r="E32" s="104"/>
      <c r="F32" s="104"/>
    </row>
    <row r="33" spans="1:6" x14ac:dyDescent="0.25">
      <c r="A33" s="103" t="s">
        <v>103</v>
      </c>
      <c r="B33" s="104">
        <f>+$B$30/$B$28</f>
        <v>0</v>
      </c>
      <c r="C33" s="104">
        <f>+$B$30/$B$28</f>
        <v>0</v>
      </c>
      <c r="D33" s="104">
        <f>+$B$30/$B$28</f>
        <v>0</v>
      </c>
      <c r="E33" s="104">
        <f>+$B$30/$B$28</f>
        <v>0</v>
      </c>
      <c r="F33" s="104">
        <f>+$B$30/$B$28</f>
        <v>0</v>
      </c>
    </row>
    <row r="34" spans="1:6" x14ac:dyDescent="0.25">
      <c r="A34" s="103" t="s">
        <v>104</v>
      </c>
      <c r="B34" s="110"/>
      <c r="C34" s="104">
        <f>+$C$30/$B$28</f>
        <v>0</v>
      </c>
      <c r="D34" s="104">
        <f>+$C$30/$B$28</f>
        <v>0</v>
      </c>
      <c r="E34" s="104">
        <f>+$C$30/$B$28</f>
        <v>0</v>
      </c>
      <c r="F34" s="104">
        <f>+$C$30/$B$28</f>
        <v>0</v>
      </c>
    </row>
    <row r="35" spans="1:6" x14ac:dyDescent="0.25">
      <c r="A35" s="103" t="s">
        <v>105</v>
      </c>
      <c r="B35" s="110"/>
      <c r="C35" s="110"/>
      <c r="D35" s="104">
        <f>+$D$30/$B$28</f>
        <v>0</v>
      </c>
      <c r="E35" s="104">
        <f>+$D$30/$B$28</f>
        <v>0</v>
      </c>
      <c r="F35" s="104">
        <f>+$D$30/$B$28</f>
        <v>0</v>
      </c>
    </row>
    <row r="36" spans="1:6" x14ac:dyDescent="0.25">
      <c r="A36" s="103" t="s">
        <v>106</v>
      </c>
      <c r="B36" s="110"/>
      <c r="C36" s="110"/>
      <c r="D36" s="110"/>
      <c r="E36" s="104">
        <f>+$E$30/$B$28</f>
        <v>0</v>
      </c>
      <c r="F36" s="104">
        <f>+$E$30/$B$28</f>
        <v>0</v>
      </c>
    </row>
    <row r="37" spans="1:6" x14ac:dyDescent="0.25">
      <c r="A37" s="103" t="s">
        <v>107</v>
      </c>
      <c r="B37" s="110"/>
      <c r="C37" s="110"/>
      <c r="D37" s="110"/>
      <c r="E37" s="110"/>
      <c r="F37" s="104">
        <f>+$F$30/$B$28</f>
        <v>0</v>
      </c>
    </row>
    <row r="38" spans="1:6" x14ac:dyDescent="0.25">
      <c r="A38" s="111" t="s">
        <v>108</v>
      </c>
      <c r="B38" s="112">
        <f>SUM(B32:B37)</f>
        <v>0</v>
      </c>
      <c r="C38" s="112">
        <f>SUM(C32:C37)</f>
        <v>0</v>
      </c>
      <c r="D38" s="112">
        <f>SUM(D32:D37)</f>
        <v>0</v>
      </c>
      <c r="E38" s="112">
        <f>SUM(E32:E37)</f>
        <v>0</v>
      </c>
      <c r="F38" s="112">
        <f>SUM(F32:F37)</f>
        <v>0</v>
      </c>
    </row>
    <row r="41" spans="1:6" x14ac:dyDescent="0.25">
      <c r="A41" s="363" t="s">
        <v>109</v>
      </c>
    </row>
    <row r="42" spans="1:6" x14ac:dyDescent="0.25">
      <c r="A42" s="363"/>
    </row>
    <row r="43" spans="1:6" x14ac:dyDescent="0.25">
      <c r="A43" s="113" t="s">
        <v>110</v>
      </c>
      <c r="B43" s="114">
        <v>365</v>
      </c>
      <c r="C43" s="364"/>
    </row>
    <row r="44" spans="1:6" x14ac:dyDescent="0.25">
      <c r="A44" s="113" t="s">
        <v>111</v>
      </c>
      <c r="B44" s="126">
        <f>+Ciclos!F16</f>
        <v>17.314332587644152</v>
      </c>
      <c r="C44" s="364"/>
    </row>
    <row r="45" spans="1:6" x14ac:dyDescent="0.25">
      <c r="A45" s="113" t="s">
        <v>112</v>
      </c>
      <c r="B45" s="126">
        <f>+Ciclos!F11</f>
        <v>7.0980633731927245</v>
      </c>
      <c r="C45" s="364"/>
    </row>
    <row r="46" spans="1:6" x14ac:dyDescent="0.25">
      <c r="A46" s="113" t="s">
        <v>113</v>
      </c>
      <c r="B46" s="114">
        <v>0</v>
      </c>
      <c r="C46" s="364"/>
    </row>
    <row r="47" spans="1:6" x14ac:dyDescent="0.25">
      <c r="A47" s="136" t="s">
        <v>155</v>
      </c>
      <c r="B47" s="126">
        <f>+Ciclos!F14</f>
        <v>24.412395960836879</v>
      </c>
      <c r="C47" s="364"/>
    </row>
    <row r="48" spans="1:6" x14ac:dyDescent="0.25">
      <c r="B48" s="138"/>
    </row>
    <row r="50" spans="1:6" x14ac:dyDescent="0.25">
      <c r="A50" s="114"/>
      <c r="B50" s="108">
        <v>2021</v>
      </c>
      <c r="C50" s="108">
        <v>2022</v>
      </c>
      <c r="D50" s="108">
        <v>2023</v>
      </c>
      <c r="E50" s="108">
        <v>2024</v>
      </c>
      <c r="F50" s="108">
        <v>2025</v>
      </c>
    </row>
    <row r="51" spans="1:6" x14ac:dyDescent="0.25">
      <c r="A51" s="103" t="s">
        <v>156</v>
      </c>
      <c r="B51" s="104">
        <f>+(B14/$B$43)*$B$44</f>
        <v>61078853.077749439</v>
      </c>
      <c r="C51" s="104">
        <f>+(C14/$B$43)*$B$44</f>
        <v>58499128.485715903</v>
      </c>
      <c r="D51" s="104">
        <f>+(D14/$B$43)*$B$44</f>
        <v>55919403.893682383</v>
      </c>
      <c r="E51" s="104">
        <f>+(E14/$B$43)*$B$44</f>
        <v>53339679.301648848</v>
      </c>
      <c r="F51" s="104">
        <f>+(F14/$B$43)*$B$44</f>
        <v>50759954.709615313</v>
      </c>
    </row>
    <row r="52" spans="1:6" x14ac:dyDescent="0.25">
      <c r="A52" s="103" t="s">
        <v>115</v>
      </c>
      <c r="B52" s="104">
        <f>+(B10/$B$43)*$B$45</f>
        <v>82076727.223568469</v>
      </c>
      <c r="C52" s="104">
        <f>+(C10/$B$43)*$B$45</f>
        <v>96608379.060005873</v>
      </c>
      <c r="D52" s="104">
        <f>+(D10/$B$43)*$B$45</f>
        <v>111140030.89644325</v>
      </c>
      <c r="E52" s="104">
        <f>+(E10/$B$43)*$B$45</f>
        <v>125671682.73288064</v>
      </c>
      <c r="F52" s="104">
        <f>+(F10/$B$43)*$B$45</f>
        <v>140203334.56931803</v>
      </c>
    </row>
    <row r="53" spans="1:6" x14ac:dyDescent="0.25">
      <c r="A53" s="103" t="s">
        <v>116</v>
      </c>
      <c r="B53" s="104">
        <f>+(B11/$B$43)*$B$46</f>
        <v>0</v>
      </c>
      <c r="C53" s="104">
        <f>+(C11/$B$43)*$B$46</f>
        <v>0</v>
      </c>
      <c r="D53" s="104">
        <f>+(D11/$B$43)*$B$46</f>
        <v>0</v>
      </c>
      <c r="E53" s="104">
        <f>+(E11/$B$43)*$B$46</f>
        <v>0</v>
      </c>
      <c r="F53" s="104">
        <f>+(F11/$B$43)*$B$46</f>
        <v>0</v>
      </c>
    </row>
    <row r="54" spans="1:6" x14ac:dyDescent="0.25">
      <c r="A54" s="103" t="s">
        <v>117</v>
      </c>
      <c r="B54" s="104">
        <f>+(B11/$B$43)*$B$47</f>
        <v>168632158.04135922</v>
      </c>
      <c r="C54" s="104">
        <f>+(C11/$B$43)*$B$47</f>
        <v>214190322.14963108</v>
      </c>
      <c r="D54" s="104">
        <f>+(D11/$B$43)*$B$47</f>
        <v>259748486.25790286</v>
      </c>
      <c r="E54" s="104">
        <f>+(E11/$B$43)*$B$47</f>
        <v>305306650.36617476</v>
      </c>
      <c r="F54" s="104">
        <f>+(F11/$B$43)*$B$47</f>
        <v>350864814.47444659</v>
      </c>
    </row>
    <row r="55" spans="1:6" x14ac:dyDescent="0.25">
      <c r="A55" s="113" t="s">
        <v>118</v>
      </c>
      <c r="B55" s="115">
        <f>+B51+B52+B53-B54</f>
        <v>-25476577.740041316</v>
      </c>
      <c r="C55" s="115">
        <f>+C51+C52+C53-C54</f>
        <v>-59082814.603909314</v>
      </c>
      <c r="D55" s="115">
        <f>+D51+D52+D53-D54</f>
        <v>-92689051.467777222</v>
      </c>
      <c r="E55" s="115">
        <f>+E51+E52+E53-E54</f>
        <v>-126295288.33164528</v>
      </c>
      <c r="F55" s="115">
        <f>+F51+F52+F53-F54</f>
        <v>-159901525.19551325</v>
      </c>
    </row>
    <row r="56" spans="1:6" x14ac:dyDescent="0.25">
      <c r="A56" s="113" t="s">
        <v>119</v>
      </c>
      <c r="B56" s="115">
        <v>7</v>
      </c>
      <c r="C56" s="115">
        <f>+C55-B55</f>
        <v>-33606236.863867998</v>
      </c>
      <c r="D56" s="115">
        <f>+D55-C55</f>
        <v>-33606236.863867909</v>
      </c>
      <c r="E56" s="115">
        <f>+E55-D55</f>
        <v>-33606236.863868058</v>
      </c>
      <c r="F56" s="115">
        <f>+F55-E55</f>
        <v>-33606236.863867968</v>
      </c>
    </row>
    <row r="57" spans="1:6" x14ac:dyDescent="0.25">
      <c r="A57" s="8"/>
    </row>
    <row r="61" spans="1:6" x14ac:dyDescent="0.25">
      <c r="A61" s="363" t="s">
        <v>120</v>
      </c>
    </row>
    <row r="62" spans="1:6" x14ac:dyDescent="0.25">
      <c r="A62" s="363"/>
    </row>
    <row r="63" spans="1:6" x14ac:dyDescent="0.25">
      <c r="A63" s="113" t="s">
        <v>121</v>
      </c>
      <c r="B63" s="116">
        <f>+Ciclos!H15</f>
        <v>0.1356</v>
      </c>
    </row>
    <row r="64" spans="1:6" x14ac:dyDescent="0.25">
      <c r="A64" s="113" t="s">
        <v>122</v>
      </c>
      <c r="B64" s="116">
        <v>0.02</v>
      </c>
    </row>
    <row r="65" spans="1:8" x14ac:dyDescent="0.25">
      <c r="A65" s="113" t="s">
        <v>123</v>
      </c>
      <c r="B65" s="116">
        <v>0.03</v>
      </c>
    </row>
    <row r="66" spans="1:8" x14ac:dyDescent="0.25">
      <c r="A66" s="8"/>
    </row>
    <row r="67" spans="1:8" x14ac:dyDescent="0.25">
      <c r="A67" s="108" t="s">
        <v>124</v>
      </c>
      <c r="B67" s="108">
        <v>2021</v>
      </c>
      <c r="C67" s="108">
        <v>2022</v>
      </c>
      <c r="D67" s="108">
        <v>2023</v>
      </c>
      <c r="E67" s="108">
        <v>2024</v>
      </c>
      <c r="F67" s="108">
        <v>2025</v>
      </c>
    </row>
    <row r="68" spans="1:8" x14ac:dyDescent="0.25">
      <c r="A68" s="8" t="s">
        <v>125</v>
      </c>
      <c r="B68" s="104">
        <f>+B21</f>
        <v>420725114.5</v>
      </c>
      <c r="C68" s="104">
        <f>+C21</f>
        <v>549186404.70000041</v>
      </c>
      <c r="D68" s="104">
        <f>+D21</f>
        <v>677647694.90000069</v>
      </c>
      <c r="E68" s="104">
        <f>+E21</f>
        <v>806108985.10000026</v>
      </c>
      <c r="F68" s="104">
        <f>+F21</f>
        <v>934570275.29999959</v>
      </c>
    </row>
    <row r="69" spans="1:8" x14ac:dyDescent="0.25">
      <c r="A69" s="8" t="s">
        <v>126</v>
      </c>
      <c r="B69" s="104">
        <f>+B23</f>
        <v>108599000</v>
      </c>
      <c r="C69" s="104">
        <f>+C23</f>
        <v>137742000</v>
      </c>
      <c r="D69" s="104">
        <f>+D23</f>
        <v>166885000</v>
      </c>
      <c r="E69" s="104">
        <f>+E23</f>
        <v>196028000</v>
      </c>
      <c r="F69" s="104">
        <f>+F23</f>
        <v>225171000</v>
      </c>
    </row>
    <row r="70" spans="1:8" x14ac:dyDescent="0.25">
      <c r="A70" s="8" t="s">
        <v>127</v>
      </c>
      <c r="B70" s="104">
        <f>+B68-B69</f>
        <v>312126114.5</v>
      </c>
      <c r="C70" s="104">
        <f>+C68-C69</f>
        <v>411444404.70000041</v>
      </c>
      <c r="D70" s="104">
        <f>+D68-D69</f>
        <v>510762694.90000069</v>
      </c>
      <c r="E70" s="104">
        <f>+E68-E69</f>
        <v>610080985.10000026</v>
      </c>
      <c r="F70" s="104">
        <f>+F68-F69</f>
        <v>709399275.29999959</v>
      </c>
    </row>
    <row r="71" spans="1:8" x14ac:dyDescent="0.25">
      <c r="A71" s="8" t="s">
        <v>128</v>
      </c>
      <c r="B71" s="104">
        <f>+B38</f>
        <v>0</v>
      </c>
      <c r="C71" s="104">
        <f>+C38</f>
        <v>0</v>
      </c>
      <c r="D71" s="104">
        <f>+D38</f>
        <v>0</v>
      </c>
      <c r="E71" s="104">
        <f>+E38</f>
        <v>0</v>
      </c>
      <c r="F71" s="104">
        <f>+F38</f>
        <v>0</v>
      </c>
    </row>
    <row r="72" spans="1:8" x14ac:dyDescent="0.25">
      <c r="A72" s="8" t="s">
        <v>129</v>
      </c>
      <c r="B72" s="104">
        <f>+B30</f>
        <v>0</v>
      </c>
      <c r="C72" s="104">
        <f>+C30</f>
        <v>0</v>
      </c>
      <c r="D72" s="104">
        <f>+D30</f>
        <v>0</v>
      </c>
      <c r="E72" s="104">
        <f>+E30</f>
        <v>0</v>
      </c>
      <c r="F72" s="104">
        <f>+F30</f>
        <v>0</v>
      </c>
    </row>
    <row r="73" spans="1:8" x14ac:dyDescent="0.25">
      <c r="A73" s="8" t="s">
        <v>130</v>
      </c>
      <c r="B73" s="104">
        <v>0</v>
      </c>
      <c r="C73" s="104">
        <f>+C56</f>
        <v>-33606236.863867998</v>
      </c>
      <c r="D73" s="104">
        <f>+D56</f>
        <v>-33606236.863867909</v>
      </c>
      <c r="E73" s="104">
        <f>+E56</f>
        <v>-33606236.863868058</v>
      </c>
      <c r="F73" s="104">
        <f>+F56</f>
        <v>-33606236.863867968</v>
      </c>
    </row>
    <row r="74" spans="1:8" x14ac:dyDescent="0.25">
      <c r="A74" s="117" t="s">
        <v>131</v>
      </c>
      <c r="B74" s="115">
        <f>+B70+B71-B72-B73</f>
        <v>312126114.5</v>
      </c>
      <c r="C74" s="115">
        <f>+C70+C71-C72-C73</f>
        <v>445050641.5638684</v>
      </c>
      <c r="D74" s="115">
        <f>+D70+D71-D72-D73</f>
        <v>544368931.76386857</v>
      </c>
      <c r="E74" s="115">
        <f>+E70+E71-E72-E73</f>
        <v>643687221.96386838</v>
      </c>
      <c r="F74" s="115">
        <f>+F70+F71-F72-F73</f>
        <v>743005512.16386759</v>
      </c>
      <c r="G74" s="104">
        <f>+F74*(1+B64)*(1+B65)/(B63-((1+B64)*(1+B65)-1))</f>
        <v>9183548130.3454018</v>
      </c>
      <c r="H74" s="118" t="s">
        <v>132</v>
      </c>
    </row>
    <row r="75" spans="1:8" x14ac:dyDescent="0.25">
      <c r="A75" s="8" t="s">
        <v>133</v>
      </c>
      <c r="B75" s="119">
        <f>+(1+$B$63)</f>
        <v>1.1355999999999999</v>
      </c>
      <c r="C75" s="119">
        <f>+(1+B63)*B75</f>
        <v>1.2895873599999998</v>
      </c>
      <c r="D75" s="119">
        <f>+(1+$B$63)*C75</f>
        <v>1.4644554060159998</v>
      </c>
      <c r="E75" s="119">
        <f>+(1+$B$63)*D75</f>
        <v>1.6630355590717694</v>
      </c>
      <c r="F75" s="119">
        <f>+(1+$B$63)*E75</f>
        <v>1.8885431808819011</v>
      </c>
      <c r="G75" s="119">
        <f>+F75</f>
        <v>1.8885431808819011</v>
      </c>
    </row>
    <row r="76" spans="1:8" x14ac:dyDescent="0.25">
      <c r="A76" s="117" t="s">
        <v>134</v>
      </c>
      <c r="B76" s="115">
        <f t="shared" ref="B76:G76" si="6">+B74/B75</f>
        <v>274855683.77949983</v>
      </c>
      <c r="C76" s="115">
        <f t="shared" si="6"/>
        <v>345110890.01668602</v>
      </c>
      <c r="D76" s="115">
        <f t="shared" si="6"/>
        <v>371721070.86879855</v>
      </c>
      <c r="E76" s="115">
        <f t="shared" si="6"/>
        <v>387055597.4901374</v>
      </c>
      <c r="F76" s="115">
        <f t="shared" si="6"/>
        <v>393427865.29080218</v>
      </c>
      <c r="G76" s="104">
        <f t="shared" si="6"/>
        <v>4862768414.9943142</v>
      </c>
    </row>
    <row r="78" spans="1:8" ht="24" thickBot="1" x14ac:dyDescent="0.4">
      <c r="A78" s="120" t="s">
        <v>135</v>
      </c>
      <c r="B78" s="121">
        <f>+SUM(B76:G76)</f>
        <v>6634939522.440238</v>
      </c>
    </row>
    <row r="79" spans="1:8" ht="15.75" thickTop="1" x14ac:dyDescent="0.25"/>
  </sheetData>
  <mergeCells count="6">
    <mergeCell ref="A61:A62"/>
    <mergeCell ref="M9:R9"/>
    <mergeCell ref="A8:A9"/>
    <mergeCell ref="A27:A28"/>
    <mergeCell ref="A41:A42"/>
    <mergeCell ref="C43:C47"/>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9"/>
  <sheetViews>
    <sheetView workbookViewId="0">
      <selection activeCell="C16" sqref="C16:F16"/>
    </sheetView>
  </sheetViews>
  <sheetFormatPr baseColWidth="10" defaultRowHeight="15" x14ac:dyDescent="0.25"/>
  <cols>
    <col min="2" max="2" width="40.28515625" bestFit="1" customWidth="1"/>
    <col min="3" max="6" width="18.28515625" bestFit="1" customWidth="1"/>
    <col min="7" max="7" width="11.42578125" style="133"/>
    <col min="8" max="8" width="16.7109375" style="133" bestFit="1" customWidth="1"/>
  </cols>
  <sheetData>
    <row r="2" spans="2:8" x14ac:dyDescent="0.25">
      <c r="B2" s="365" t="s">
        <v>40</v>
      </c>
      <c r="C2" s="365"/>
      <c r="D2" s="365"/>
      <c r="E2" s="365"/>
    </row>
    <row r="3" spans="2:8" x14ac:dyDescent="0.25">
      <c r="B3" s="365"/>
      <c r="C3" s="365"/>
      <c r="D3" s="365"/>
      <c r="E3" s="365"/>
      <c r="G3" s="366" t="s">
        <v>149</v>
      </c>
      <c r="H3" s="366"/>
    </row>
    <row r="4" spans="2:8" x14ac:dyDescent="0.25">
      <c r="B4" s="365" t="s">
        <v>136</v>
      </c>
      <c r="C4" s="365"/>
      <c r="D4" s="365"/>
      <c r="E4" s="365"/>
      <c r="G4" s="134">
        <v>2017</v>
      </c>
      <c r="H4" s="135">
        <v>39123528</v>
      </c>
    </row>
    <row r="5" spans="2:8" x14ac:dyDescent="0.25">
      <c r="B5" s="365"/>
      <c r="C5" s="365"/>
      <c r="D5" s="365"/>
      <c r="E5" s="365"/>
      <c r="G5" s="134">
        <v>2018</v>
      </c>
      <c r="H5" s="135">
        <v>81214178</v>
      </c>
    </row>
    <row r="6" spans="2:8" ht="21" x14ac:dyDescent="0.25">
      <c r="B6" s="365" t="s">
        <v>137</v>
      </c>
      <c r="C6" s="365"/>
      <c r="D6" s="365"/>
      <c r="E6" s="365"/>
      <c r="G6" s="134">
        <v>2019</v>
      </c>
      <c r="H6" s="135">
        <v>72801761</v>
      </c>
    </row>
    <row r="7" spans="2:8" ht="21" x14ac:dyDescent="0.25">
      <c r="B7" s="122"/>
      <c r="C7" s="122"/>
      <c r="D7" s="122"/>
      <c r="E7" s="122"/>
      <c r="G7" s="134">
        <v>2020</v>
      </c>
      <c r="H7" s="135">
        <v>66451180</v>
      </c>
    </row>
    <row r="8" spans="2:8" x14ac:dyDescent="0.25">
      <c r="C8" s="123">
        <v>2017</v>
      </c>
      <c r="D8" s="123">
        <v>2018</v>
      </c>
      <c r="E8" s="123">
        <v>2019</v>
      </c>
      <c r="F8" s="123">
        <v>2020</v>
      </c>
    </row>
    <row r="9" spans="2:8" x14ac:dyDescent="0.25">
      <c r="B9" s="124" t="s">
        <v>138</v>
      </c>
      <c r="C9" s="125">
        <f>+PYG!C10</f>
        <v>1262392367</v>
      </c>
      <c r="D9" s="125">
        <f>+PYG!D10</f>
        <v>1860941447</v>
      </c>
      <c r="E9" s="125">
        <f>+PYG!E10</f>
        <v>2869401050</v>
      </c>
      <c r="F9" s="125">
        <f>+PYG!F10</f>
        <v>3417084270</v>
      </c>
      <c r="G9" s="367" t="s">
        <v>150</v>
      </c>
      <c r="H9" s="366"/>
    </row>
    <row r="10" spans="2:8" x14ac:dyDescent="0.25">
      <c r="B10" s="124" t="s">
        <v>139</v>
      </c>
      <c r="C10" s="125">
        <f>+PYG!C16</f>
        <v>0</v>
      </c>
      <c r="D10" s="125">
        <f>+PYG!D16</f>
        <v>0</v>
      </c>
      <c r="E10" s="125">
        <f>+PYG!E11</f>
        <v>1504556463</v>
      </c>
      <c r="F10" s="125">
        <f>+PYG!F11</f>
        <v>1769012091</v>
      </c>
      <c r="G10" s="134">
        <v>2017</v>
      </c>
      <c r="H10" s="135">
        <v>70000000</v>
      </c>
    </row>
    <row r="11" spans="2:8" x14ac:dyDescent="0.25">
      <c r="B11" s="124" t="s">
        <v>140</v>
      </c>
      <c r="C11" s="126">
        <f>(H4*365)/C9</f>
        <v>11.311924955579203</v>
      </c>
      <c r="D11" s="126">
        <f>(H5*365)/D9</f>
        <v>15.929128247311265</v>
      </c>
      <c r="E11" s="126">
        <f>(H6*365)/E9</f>
        <v>9.2606931906573333</v>
      </c>
      <c r="F11" s="126">
        <f>(H7*365)/F9</f>
        <v>7.0980633731927245</v>
      </c>
      <c r="G11" s="134">
        <v>2018</v>
      </c>
      <c r="H11" s="135">
        <v>168100994</v>
      </c>
    </row>
    <row r="12" spans="2:8" x14ac:dyDescent="0.25">
      <c r="B12" s="127" t="s">
        <v>141</v>
      </c>
      <c r="C12" s="126">
        <f>365/C11</f>
        <v>32.266833579016698</v>
      </c>
      <c r="D12" s="126">
        <f>365/D11</f>
        <v>22.913997196400857</v>
      </c>
      <c r="E12" s="126">
        <f>365/E11</f>
        <v>39.413896183088205</v>
      </c>
      <c r="F12" s="126">
        <f>365/F11</f>
        <v>51.422476922155489</v>
      </c>
      <c r="G12" s="134">
        <v>2019</v>
      </c>
      <c r="H12" s="135">
        <v>224970688</v>
      </c>
    </row>
    <row r="13" spans="2:8" x14ac:dyDescent="0.25">
      <c r="B13" s="128" t="s">
        <v>142</v>
      </c>
      <c r="C13" s="129">
        <f>+C11</f>
        <v>11.311924955579203</v>
      </c>
      <c r="D13" s="129">
        <f>+D11</f>
        <v>15.929128247311265</v>
      </c>
      <c r="E13" s="129">
        <f>+E11</f>
        <v>9.2606931906573333</v>
      </c>
      <c r="F13" s="129">
        <f>+F11</f>
        <v>7.0980633731927245</v>
      </c>
      <c r="G13" s="134">
        <v>2020</v>
      </c>
      <c r="H13" s="135">
        <v>118317325</v>
      </c>
    </row>
    <row r="14" spans="2:8" x14ac:dyDescent="0.25">
      <c r="B14" s="124" t="s">
        <v>143</v>
      </c>
      <c r="C14" s="126" t="e">
        <f>(H10*365)/C10</f>
        <v>#DIV/0!</v>
      </c>
      <c r="D14" s="126" t="e">
        <f>(H11*365)/D10</f>
        <v>#DIV/0!</v>
      </c>
      <c r="E14" s="126">
        <f>(H12*365)/E10</f>
        <v>54.577081777488601</v>
      </c>
      <c r="F14" s="126">
        <f>(H13*365)/F10</f>
        <v>24.412395960836879</v>
      </c>
      <c r="H14" s="135"/>
    </row>
    <row r="15" spans="2:8" x14ac:dyDescent="0.25">
      <c r="B15" s="127" t="s">
        <v>144</v>
      </c>
      <c r="C15" s="126" t="e">
        <f>365/C14</f>
        <v>#DIV/0!</v>
      </c>
      <c r="D15" s="126" t="e">
        <f>365/D14</f>
        <v>#DIV/0!</v>
      </c>
      <c r="E15" s="126">
        <f>365/E14</f>
        <v>6.6877888687436471</v>
      </c>
      <c r="F15" s="126">
        <f>365/F14</f>
        <v>14.951420605562204</v>
      </c>
      <c r="G15" s="133" t="s">
        <v>151</v>
      </c>
      <c r="H15" s="137">
        <v>0.1356</v>
      </c>
    </row>
    <row r="16" spans="2:8" x14ac:dyDescent="0.25">
      <c r="B16" s="128" t="s">
        <v>145</v>
      </c>
      <c r="C16" s="129" t="e">
        <f>C14-C13</f>
        <v>#DIV/0!</v>
      </c>
      <c r="D16" s="129" t="e">
        <f>D14-D13</f>
        <v>#DIV/0!</v>
      </c>
      <c r="E16" s="129">
        <f>E14-E13</f>
        <v>45.316388586831266</v>
      </c>
      <c r="F16" s="129">
        <f>F14-F13</f>
        <v>17.314332587644152</v>
      </c>
    </row>
    <row r="17" spans="2:6" x14ac:dyDescent="0.25">
      <c r="B17" s="114" t="s">
        <v>146</v>
      </c>
      <c r="C17" s="125">
        <f>(C11*C9)/365</f>
        <v>39123528</v>
      </c>
      <c r="D17" s="125">
        <f>(D11*D9)/365</f>
        <v>81214178</v>
      </c>
      <c r="E17" s="125">
        <f>(E11*E9)/365</f>
        <v>72801761.000000015</v>
      </c>
      <c r="F17" s="125">
        <f>(F11*F9)/365</f>
        <v>66451180</v>
      </c>
    </row>
    <row r="18" spans="2:6" x14ac:dyDescent="0.25">
      <c r="B18" s="114" t="s">
        <v>147</v>
      </c>
      <c r="C18" s="130" t="e">
        <f>-(C14*C10)/365</f>
        <v>#DIV/0!</v>
      </c>
      <c r="D18" s="130" t="e">
        <f>-(D14*D10)/365</f>
        <v>#DIV/0!</v>
      </c>
      <c r="E18" s="130">
        <f>-(E14*E10)/365</f>
        <v>-224970688</v>
      </c>
      <c r="F18" s="130">
        <f>-(F14*F10)/365</f>
        <v>-118317325</v>
      </c>
    </row>
    <row r="19" spans="2:6" x14ac:dyDescent="0.25">
      <c r="B19" s="131" t="s">
        <v>148</v>
      </c>
      <c r="C19" s="132" t="e">
        <f>+C17+C18</f>
        <v>#DIV/0!</v>
      </c>
      <c r="D19" s="132" t="e">
        <f>+D17+D18</f>
        <v>#DIV/0!</v>
      </c>
      <c r="E19" s="132">
        <f>+E17+E18</f>
        <v>-152168927</v>
      </c>
      <c r="F19" s="132">
        <f>+F17+F18</f>
        <v>-51866145</v>
      </c>
    </row>
  </sheetData>
  <mergeCells count="5">
    <mergeCell ref="B2:E3"/>
    <mergeCell ref="B4:E5"/>
    <mergeCell ref="B6:E6"/>
    <mergeCell ref="G3:H3"/>
    <mergeCell ref="G9:H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98"/>
  <sheetViews>
    <sheetView showGridLines="0" zoomScale="80" zoomScaleNormal="80" workbookViewId="0">
      <selection activeCell="E18" sqref="E18"/>
    </sheetView>
  </sheetViews>
  <sheetFormatPr baseColWidth="10" defaultRowHeight="15.75" x14ac:dyDescent="0.25"/>
  <cols>
    <col min="1" max="1" width="54" style="139" customWidth="1"/>
    <col min="2" max="2" width="23.5703125" style="139" customWidth="1"/>
    <col min="3" max="3" width="2.140625" style="139" customWidth="1"/>
    <col min="4" max="4" width="18.7109375" style="139" bestFit="1" customWidth="1"/>
    <col min="5" max="5" width="31.42578125" style="139" customWidth="1"/>
    <col min="6" max="6" width="14.42578125" style="139" bestFit="1" customWidth="1"/>
    <col min="7" max="7" width="11.42578125" style="139"/>
    <col min="8" max="8" width="2.85546875" style="139" customWidth="1"/>
    <col min="9" max="9" width="31.28515625" style="139" bestFit="1" customWidth="1"/>
    <col min="10" max="10" width="22.28515625" style="139" bestFit="1" customWidth="1"/>
    <col min="11" max="11" width="30.7109375" style="139" customWidth="1"/>
    <col min="12" max="13" width="21" style="139" bestFit="1" customWidth="1"/>
    <col min="14" max="15" width="22.85546875" style="139" bestFit="1" customWidth="1"/>
    <col min="16" max="16" width="20.42578125" style="139" bestFit="1" customWidth="1"/>
    <col min="17" max="20" width="18.28515625" bestFit="1" customWidth="1"/>
  </cols>
  <sheetData>
    <row r="1" spans="1:20" x14ac:dyDescent="0.25">
      <c r="A1" s="336" t="s">
        <v>283</v>
      </c>
      <c r="B1" s="368" t="s">
        <v>284</v>
      </c>
      <c r="C1" s="368"/>
      <c r="D1" s="368"/>
      <c r="E1" s="368"/>
      <c r="F1" s="368"/>
      <c r="G1" s="368"/>
      <c r="H1" s="368"/>
      <c r="I1" s="368"/>
      <c r="J1" s="199"/>
      <c r="K1" s="199"/>
      <c r="L1" s="199"/>
      <c r="M1" s="199"/>
    </row>
    <row r="2" spans="1:20" x14ac:dyDescent="0.25">
      <c r="A2" s="336" t="s">
        <v>285</v>
      </c>
      <c r="B2" s="369">
        <f>+J130</f>
        <v>4377565633.2002573</v>
      </c>
      <c r="C2" s="368"/>
      <c r="D2" s="368"/>
      <c r="E2" s="368"/>
      <c r="F2" s="368"/>
      <c r="G2" s="368"/>
      <c r="H2" s="368"/>
      <c r="I2" s="368"/>
      <c r="J2" s="199"/>
      <c r="K2" s="199"/>
      <c r="L2" s="199"/>
      <c r="M2" s="199"/>
    </row>
    <row r="3" spans="1:20" ht="15" customHeight="1" x14ac:dyDescent="0.25">
      <c r="A3" s="334" t="s">
        <v>286</v>
      </c>
      <c r="B3" s="334"/>
      <c r="C3" s="334"/>
      <c r="D3" s="334"/>
      <c r="E3" s="334"/>
      <c r="F3" s="334"/>
      <c r="G3" s="334"/>
      <c r="H3" s="334"/>
      <c r="I3" s="335"/>
      <c r="J3" s="266"/>
      <c r="K3" s="266"/>
      <c r="L3" s="266"/>
      <c r="M3" s="266"/>
    </row>
    <row r="4" spans="1:20" ht="15" customHeight="1" x14ac:dyDescent="0.25">
      <c r="A4" s="334" t="s">
        <v>287</v>
      </c>
      <c r="B4" s="334"/>
      <c r="C4" s="334"/>
      <c r="D4" s="334"/>
      <c r="E4" s="334"/>
      <c r="F4" s="334"/>
      <c r="G4" s="334"/>
      <c r="H4" s="334"/>
      <c r="I4" s="335"/>
      <c r="J4" s="265"/>
      <c r="K4" s="265"/>
      <c r="L4" s="265"/>
      <c r="M4" s="265"/>
    </row>
    <row r="5" spans="1:20" ht="15" customHeight="1" x14ac:dyDescent="0.25">
      <c r="A5" s="334" t="s">
        <v>288</v>
      </c>
      <c r="B5" s="334"/>
      <c r="C5" s="334"/>
      <c r="D5" s="334"/>
      <c r="E5" s="334"/>
      <c r="F5" s="334"/>
      <c r="G5" s="334"/>
      <c r="H5" s="334"/>
      <c r="I5" s="335"/>
      <c r="J5" s="265"/>
      <c r="K5" s="265"/>
      <c r="L5" s="265"/>
      <c r="M5" s="265"/>
    </row>
    <row r="6" spans="1:20" ht="15" customHeight="1" x14ac:dyDescent="0.25">
      <c r="A6" s="334" t="s">
        <v>289</v>
      </c>
      <c r="B6" s="334"/>
      <c r="C6" s="334"/>
      <c r="D6" s="334"/>
      <c r="E6" s="334"/>
      <c r="F6" s="334"/>
      <c r="G6" s="334"/>
      <c r="H6" s="334"/>
      <c r="I6" s="335"/>
      <c r="J6" s="265"/>
      <c r="K6" s="265"/>
      <c r="L6" s="265"/>
      <c r="M6" s="265"/>
    </row>
    <row r="7" spans="1:20" ht="15" customHeight="1" x14ac:dyDescent="0.25">
      <c r="A7" s="334" t="s">
        <v>290</v>
      </c>
      <c r="B7" s="334"/>
      <c r="C7" s="334"/>
      <c r="D7" s="334"/>
      <c r="E7" s="334"/>
      <c r="F7" s="334"/>
      <c r="G7" s="334"/>
      <c r="H7" s="334"/>
      <c r="I7" s="335"/>
      <c r="J7" s="265"/>
      <c r="K7" s="265"/>
      <c r="L7" s="265"/>
      <c r="M7" s="265"/>
    </row>
    <row r="8" spans="1:20" ht="15" customHeight="1" x14ac:dyDescent="0.25">
      <c r="A8" s="334" t="s">
        <v>291</v>
      </c>
      <c r="B8" s="334"/>
      <c r="C8" s="334"/>
      <c r="D8" s="334"/>
      <c r="E8" s="334"/>
      <c r="F8" s="334"/>
      <c r="G8" s="334"/>
      <c r="H8" s="334"/>
      <c r="I8" s="335"/>
      <c r="J8" s="265"/>
      <c r="K8" s="265"/>
      <c r="L8" s="265"/>
      <c r="M8" s="265"/>
    </row>
    <row r="9" spans="1:20" ht="15" customHeight="1" x14ac:dyDescent="0.25">
      <c r="A9" s="334" t="s">
        <v>292</v>
      </c>
      <c r="B9" s="334"/>
      <c r="C9" s="334"/>
      <c r="D9" s="334"/>
      <c r="E9" s="334"/>
      <c r="F9" s="334"/>
      <c r="G9" s="334"/>
      <c r="H9" s="334"/>
      <c r="I9" s="335"/>
      <c r="J9" s="265"/>
      <c r="K9" s="265"/>
      <c r="L9" s="265"/>
      <c r="M9" s="265"/>
    </row>
    <row r="10" spans="1:20" ht="15" customHeight="1" x14ac:dyDescent="0.25">
      <c r="A10" s="334" t="s">
        <v>351</v>
      </c>
      <c r="B10" s="334"/>
      <c r="C10" s="334"/>
      <c r="D10" s="334"/>
      <c r="E10" s="334"/>
      <c r="F10" s="334"/>
      <c r="G10" s="334"/>
      <c r="H10" s="334"/>
      <c r="I10" s="335"/>
      <c r="J10" s="265"/>
      <c r="K10" s="265"/>
      <c r="L10" s="265"/>
      <c r="M10" s="265"/>
    </row>
    <row r="11" spans="1:20" s="139" customFormat="1" x14ac:dyDescent="0.25">
      <c r="A11" s="1"/>
      <c r="B11"/>
      <c r="C11"/>
      <c r="D11"/>
      <c r="Q11"/>
      <c r="R11"/>
      <c r="S11"/>
      <c r="T11"/>
    </row>
    <row r="12" spans="1:20" s="139" customFormat="1" x14ac:dyDescent="0.25">
      <c r="A12" s="1"/>
      <c r="B12"/>
      <c r="C12"/>
      <c r="D12"/>
      <c r="Q12"/>
      <c r="R12"/>
      <c r="S12"/>
      <c r="T12"/>
    </row>
    <row r="13" spans="1:20" s="139" customFormat="1" x14ac:dyDescent="0.25">
      <c r="A13" s="140" t="s">
        <v>157</v>
      </c>
      <c r="B13" s="141" t="s">
        <v>158</v>
      </c>
      <c r="C13" s="141"/>
      <c r="D13" s="141" t="s">
        <v>159</v>
      </c>
      <c r="E13" s="142" t="s">
        <v>160</v>
      </c>
      <c r="Q13"/>
      <c r="R13"/>
      <c r="S13"/>
      <c r="T13"/>
    </row>
    <row r="14" spans="1:20" s="139" customFormat="1" x14ac:dyDescent="0.25">
      <c r="A14" s="143" t="s">
        <v>161</v>
      </c>
      <c r="B14" s="104">
        <v>1000000000</v>
      </c>
      <c r="C14" s="104"/>
      <c r="D14" s="104"/>
      <c r="E14" s="104">
        <f>+B14+D14</f>
        <v>1000000000</v>
      </c>
      <c r="Q14"/>
      <c r="R14"/>
      <c r="S14"/>
      <c r="T14"/>
    </row>
    <row r="15" spans="1:20" s="139" customFormat="1" x14ac:dyDescent="0.25">
      <c r="A15" s="144" t="s">
        <v>162</v>
      </c>
      <c r="B15" s="104"/>
      <c r="C15" s="104"/>
      <c r="D15" s="104"/>
      <c r="E15" s="104"/>
      <c r="Q15"/>
      <c r="R15"/>
      <c r="S15"/>
      <c r="T15"/>
    </row>
    <row r="16" spans="1:20" s="139" customFormat="1" x14ac:dyDescent="0.25">
      <c r="A16" s="143" t="s">
        <v>163</v>
      </c>
      <c r="B16" s="104">
        <v>250000000</v>
      </c>
      <c r="C16" s="104"/>
      <c r="D16" s="104"/>
      <c r="E16" s="104">
        <f>+B16+D16</f>
        <v>250000000</v>
      </c>
      <c r="Q16"/>
      <c r="R16"/>
      <c r="S16"/>
      <c r="T16"/>
    </row>
    <row r="17" spans="1:20" s="139" customFormat="1" x14ac:dyDescent="0.25">
      <c r="A17" s="144" t="s">
        <v>164</v>
      </c>
      <c r="B17" s="104"/>
      <c r="C17" s="104"/>
      <c r="D17" s="104"/>
      <c r="E17" s="104"/>
      <c r="Q17"/>
      <c r="R17"/>
      <c r="S17"/>
      <c r="T17"/>
    </row>
    <row r="18" spans="1:20" s="139" customFormat="1" x14ac:dyDescent="0.25">
      <c r="A18" s="143" t="s">
        <v>165</v>
      </c>
      <c r="B18" s="104">
        <f>+B19</f>
        <v>42000000</v>
      </c>
      <c r="C18" s="104"/>
      <c r="D18" s="104">
        <f>+B18*12</f>
        <v>504000000</v>
      </c>
      <c r="E18" s="104">
        <f>D18*5</f>
        <v>2520000000</v>
      </c>
      <c r="Q18"/>
      <c r="R18"/>
      <c r="S18"/>
      <c r="T18"/>
    </row>
    <row r="19" spans="1:20" s="139" customFormat="1" x14ac:dyDescent="0.25">
      <c r="A19" s="144" t="s">
        <v>166</v>
      </c>
      <c r="B19" s="104">
        <v>42000000</v>
      </c>
      <c r="C19" s="104"/>
      <c r="D19" s="104"/>
      <c r="E19" s="104"/>
      <c r="F19" s="333">
        <f>47400000/20</f>
        <v>2370000</v>
      </c>
      <c r="G19" s="333">
        <v>2100000</v>
      </c>
      <c r="H19" s="333"/>
      <c r="I19" s="333"/>
      <c r="Q19"/>
      <c r="R19"/>
      <c r="S19"/>
      <c r="T19"/>
    </row>
    <row r="20" spans="1:20" s="139" customFormat="1" x14ac:dyDescent="0.25">
      <c r="A20" s="143" t="s">
        <v>167</v>
      </c>
      <c r="B20" s="104">
        <f>SUM(B21:B23)</f>
        <v>8200000</v>
      </c>
      <c r="C20" s="104"/>
      <c r="D20" s="104">
        <f>+B20*12</f>
        <v>98400000</v>
      </c>
      <c r="E20" s="104">
        <f>D20*5</f>
        <v>492000000</v>
      </c>
      <c r="F20" s="333"/>
      <c r="G20" s="333">
        <f>+G19*20</f>
        <v>42000000</v>
      </c>
      <c r="H20" s="333"/>
      <c r="I20" s="333"/>
      <c r="Q20"/>
      <c r="R20"/>
      <c r="S20"/>
      <c r="T20"/>
    </row>
    <row r="21" spans="1:20" s="139" customFormat="1" x14ac:dyDescent="0.25">
      <c r="A21" s="144" t="s">
        <v>278</v>
      </c>
      <c r="B21" s="104">
        <v>2000000</v>
      </c>
      <c r="C21" s="104"/>
      <c r="D21" s="104"/>
      <c r="E21" s="104"/>
      <c r="F21" s="333"/>
      <c r="G21" s="333"/>
      <c r="H21" s="333"/>
      <c r="I21" s="333"/>
      <c r="Q21"/>
      <c r="R21"/>
      <c r="S21"/>
      <c r="T21"/>
    </row>
    <row r="22" spans="1:20" s="139" customFormat="1" x14ac:dyDescent="0.25">
      <c r="A22" s="144" t="s">
        <v>279</v>
      </c>
      <c r="B22" s="104">
        <v>4200000</v>
      </c>
      <c r="C22" s="104"/>
      <c r="D22" s="104"/>
      <c r="E22" s="104"/>
      <c r="F22" s="333"/>
      <c r="G22" s="333"/>
      <c r="H22" s="333"/>
      <c r="I22" s="333"/>
      <c r="Q22"/>
      <c r="R22"/>
      <c r="S22"/>
      <c r="T22"/>
    </row>
    <row r="23" spans="1:20" x14ac:dyDescent="0.25">
      <c r="A23" s="144" t="s">
        <v>280</v>
      </c>
      <c r="B23" s="104">
        <v>2000000</v>
      </c>
      <c r="C23" s="104"/>
      <c r="D23" s="104"/>
      <c r="E23" s="104"/>
      <c r="F23" s="333"/>
      <c r="G23" s="333"/>
      <c r="H23" s="333"/>
      <c r="I23" s="333"/>
    </row>
    <row r="24" spans="1:20" x14ac:dyDescent="0.25">
      <c r="A24" s="145" t="s">
        <v>168</v>
      </c>
      <c r="B24" s="104"/>
      <c r="C24" s="104"/>
      <c r="D24" s="104"/>
      <c r="E24" s="104">
        <f>SUM(E14:E23)</f>
        <v>4262000000</v>
      </c>
    </row>
    <row r="28" spans="1:20" ht="16.5" thickBot="1" x14ac:dyDescent="0.3"/>
    <row r="29" spans="1:20" ht="16.5" thickBot="1" x14ac:dyDescent="0.3">
      <c r="A29" s="371" t="s">
        <v>169</v>
      </c>
      <c r="B29" s="372"/>
      <c r="C29" s="372"/>
      <c r="D29" s="372"/>
      <c r="E29" s="372"/>
      <c r="F29" s="372"/>
      <c r="G29" s="373"/>
      <c r="I29" s="146"/>
    </row>
    <row r="31" spans="1:20" ht="16.5" thickBot="1" x14ac:dyDescent="0.3">
      <c r="A31" s="374" t="s">
        <v>170</v>
      </c>
      <c r="B31" s="374"/>
      <c r="C31" s="374"/>
      <c r="D31" s="374"/>
      <c r="E31" s="374"/>
      <c r="F31" s="374"/>
      <c r="G31" s="374"/>
      <c r="I31" s="147"/>
      <c r="J31" s="148">
        <v>2020</v>
      </c>
      <c r="K31" s="148">
        <v>2021</v>
      </c>
      <c r="L31" s="148">
        <v>2022</v>
      </c>
      <c r="M31" s="148">
        <v>2023</v>
      </c>
      <c r="N31" s="148">
        <v>2024</v>
      </c>
      <c r="O31" s="148">
        <v>2025</v>
      </c>
      <c r="P31" s="148">
        <v>2026</v>
      </c>
      <c r="Q31" s="148">
        <v>2027</v>
      </c>
      <c r="R31" s="148">
        <v>2028</v>
      </c>
      <c r="S31" s="148">
        <v>2029</v>
      </c>
      <c r="T31" s="148">
        <v>2030</v>
      </c>
    </row>
    <row r="32" spans="1:20" x14ac:dyDescent="0.25">
      <c r="A32" s="149" t="s">
        <v>171</v>
      </c>
      <c r="B32" s="150" t="s">
        <v>172</v>
      </c>
      <c r="C32" s="150"/>
      <c r="D32" s="150" t="s">
        <v>173</v>
      </c>
      <c r="E32" s="150" t="s">
        <v>174</v>
      </c>
      <c r="F32" s="151" t="s">
        <v>175</v>
      </c>
      <c r="I32" s="152" t="s">
        <v>176</v>
      </c>
      <c r="K32" s="153">
        <f>+($B$33-$E$33)/$F$33</f>
        <v>100000000</v>
      </c>
      <c r="L32" s="153">
        <f t="shared" ref="L32:T32" si="0">+($B$33-$E$33)/$F$33</f>
        <v>100000000</v>
      </c>
      <c r="M32" s="153">
        <f t="shared" si="0"/>
        <v>100000000</v>
      </c>
      <c r="N32" s="153">
        <f t="shared" si="0"/>
        <v>100000000</v>
      </c>
      <c r="O32" s="153">
        <f t="shared" si="0"/>
        <v>100000000</v>
      </c>
      <c r="P32" s="153">
        <f t="shared" si="0"/>
        <v>100000000</v>
      </c>
      <c r="Q32" s="153">
        <f t="shared" si="0"/>
        <v>100000000</v>
      </c>
      <c r="R32" s="153">
        <f t="shared" si="0"/>
        <v>100000000</v>
      </c>
      <c r="S32" s="153">
        <f t="shared" si="0"/>
        <v>100000000</v>
      </c>
      <c r="T32" s="153">
        <f t="shared" si="0"/>
        <v>100000000</v>
      </c>
    </row>
    <row r="33" spans="1:20" x14ac:dyDescent="0.25">
      <c r="A33" s="152" t="s">
        <v>177</v>
      </c>
      <c r="B33" s="154">
        <f>+E14</f>
        <v>1000000000</v>
      </c>
      <c r="D33" s="155">
        <v>0</v>
      </c>
      <c r="E33" s="156">
        <f>+B33*D33</f>
        <v>0</v>
      </c>
      <c r="F33" s="157">
        <v>10</v>
      </c>
      <c r="I33" s="152" t="s">
        <v>178</v>
      </c>
      <c r="K33" s="153">
        <f>+($B$34-$E$34)/$F$34</f>
        <v>25000000</v>
      </c>
      <c r="L33" s="153">
        <f t="shared" ref="L33:T33" si="1">+($B$34-$E$34)/$F$34</f>
        <v>25000000</v>
      </c>
      <c r="M33" s="153">
        <f t="shared" si="1"/>
        <v>25000000</v>
      </c>
      <c r="N33" s="153">
        <f t="shared" si="1"/>
        <v>25000000</v>
      </c>
      <c r="O33" s="153">
        <f t="shared" si="1"/>
        <v>25000000</v>
      </c>
      <c r="P33" s="153">
        <f t="shared" si="1"/>
        <v>25000000</v>
      </c>
      <c r="Q33" s="153">
        <f t="shared" si="1"/>
        <v>25000000</v>
      </c>
      <c r="R33" s="153">
        <f t="shared" si="1"/>
        <v>25000000</v>
      </c>
      <c r="S33" s="153">
        <f t="shared" si="1"/>
        <v>25000000</v>
      </c>
      <c r="T33" s="153">
        <f t="shared" si="1"/>
        <v>25000000</v>
      </c>
    </row>
    <row r="34" spans="1:20" x14ac:dyDescent="0.25">
      <c r="A34" s="152" t="s">
        <v>178</v>
      </c>
      <c r="B34" s="154">
        <f>+E16</f>
        <v>250000000</v>
      </c>
      <c r="D34" s="155">
        <v>0</v>
      </c>
      <c r="E34" s="156">
        <f>+B34*D34</f>
        <v>0</v>
      </c>
      <c r="F34" s="157">
        <v>10</v>
      </c>
      <c r="I34" s="152" t="s">
        <v>179</v>
      </c>
      <c r="K34" s="153">
        <f>+($B$35-$E$35)/$F$35</f>
        <v>49200000</v>
      </c>
      <c r="L34" s="153">
        <f t="shared" ref="L34:T34" si="2">+($B$35-$E$35)/$F$35</f>
        <v>49200000</v>
      </c>
      <c r="M34" s="153">
        <f t="shared" si="2"/>
        <v>49200000</v>
      </c>
      <c r="N34" s="153">
        <f t="shared" si="2"/>
        <v>49200000</v>
      </c>
      <c r="O34" s="153">
        <f t="shared" si="2"/>
        <v>49200000</v>
      </c>
      <c r="P34" s="153">
        <f t="shared" si="2"/>
        <v>49200000</v>
      </c>
      <c r="Q34" s="153">
        <f t="shared" si="2"/>
        <v>49200000</v>
      </c>
      <c r="R34" s="153">
        <f t="shared" si="2"/>
        <v>49200000</v>
      </c>
      <c r="S34" s="153">
        <f t="shared" si="2"/>
        <v>49200000</v>
      </c>
      <c r="T34" s="153">
        <f t="shared" si="2"/>
        <v>49200000</v>
      </c>
    </row>
    <row r="35" spans="1:20" x14ac:dyDescent="0.25">
      <c r="A35" s="152" t="s">
        <v>179</v>
      </c>
      <c r="B35" s="154">
        <f>+E20</f>
        <v>492000000</v>
      </c>
      <c r="D35" s="155">
        <v>0</v>
      </c>
      <c r="E35" s="156">
        <f>+B35*D35</f>
        <v>0</v>
      </c>
      <c r="F35" s="157">
        <v>10</v>
      </c>
      <c r="I35" s="152"/>
      <c r="K35" s="153"/>
      <c r="L35" s="153"/>
      <c r="M35" s="153"/>
      <c r="N35" s="153"/>
      <c r="O35" s="153"/>
      <c r="P35" s="153"/>
      <c r="Q35" s="153"/>
      <c r="R35" s="153"/>
      <c r="S35" s="153"/>
      <c r="T35" s="153"/>
    </row>
    <row r="36" spans="1:20" x14ac:dyDescent="0.25">
      <c r="A36" s="152"/>
      <c r="B36" s="154"/>
      <c r="D36" s="155"/>
      <c r="E36" s="156"/>
      <c r="F36" s="157"/>
      <c r="I36" s="147" t="s">
        <v>180</v>
      </c>
      <c r="J36" s="147"/>
      <c r="K36" s="158">
        <f t="shared" ref="K36:T36" si="3">SUM(K32:K35)</f>
        <v>174200000</v>
      </c>
      <c r="L36" s="158">
        <f t="shared" si="3"/>
        <v>174200000</v>
      </c>
      <c r="M36" s="158">
        <f t="shared" si="3"/>
        <v>174200000</v>
      </c>
      <c r="N36" s="158">
        <f t="shared" si="3"/>
        <v>174200000</v>
      </c>
      <c r="O36" s="158">
        <f t="shared" si="3"/>
        <v>174200000</v>
      </c>
      <c r="P36" s="158">
        <f t="shared" si="3"/>
        <v>174200000</v>
      </c>
      <c r="Q36" s="158">
        <f t="shared" si="3"/>
        <v>174200000</v>
      </c>
      <c r="R36" s="158">
        <f t="shared" si="3"/>
        <v>174200000</v>
      </c>
      <c r="S36" s="158">
        <f t="shared" si="3"/>
        <v>174200000</v>
      </c>
      <c r="T36" s="158">
        <f t="shared" si="3"/>
        <v>174200000</v>
      </c>
    </row>
    <row r="37" spans="1:20" x14ac:dyDescent="0.25">
      <c r="A37" s="152"/>
      <c r="B37" s="154"/>
      <c r="D37" s="155"/>
      <c r="E37" s="156"/>
      <c r="F37" s="157"/>
    </row>
    <row r="38" spans="1:20" ht="16.5" thickBot="1" x14ac:dyDescent="0.3">
      <c r="A38" s="159" t="s">
        <v>181</v>
      </c>
      <c r="B38" s="160">
        <f>SUM(B33:B37)</f>
        <v>1742000000</v>
      </c>
      <c r="C38" s="161"/>
      <c r="D38" s="162"/>
      <c r="E38" s="163"/>
      <c r="F38" s="164"/>
    </row>
    <row r="39" spans="1:20" ht="16.5" thickBot="1" x14ac:dyDescent="0.3"/>
    <row r="40" spans="1:20" ht="16.5" thickBot="1" x14ac:dyDescent="0.3">
      <c r="A40" s="371" t="s">
        <v>182</v>
      </c>
      <c r="B40" s="372"/>
      <c r="C40" s="372"/>
      <c r="D40" s="372"/>
      <c r="E40" s="372"/>
      <c r="F40" s="372"/>
      <c r="G40" s="373"/>
    </row>
    <row r="41" spans="1:20" ht="15" x14ac:dyDescent="0.25">
      <c r="A41"/>
      <c r="B41"/>
      <c r="C41"/>
      <c r="D41"/>
      <c r="E41"/>
      <c r="F41"/>
      <c r="G41"/>
      <c r="H41"/>
      <c r="I41"/>
      <c r="J41"/>
      <c r="K41"/>
      <c r="L41"/>
      <c r="M41"/>
      <c r="N41"/>
      <c r="O41"/>
      <c r="P41"/>
    </row>
    <row r="42" spans="1:20" hidden="1" x14ac:dyDescent="0.25">
      <c r="A42" s="139" t="s">
        <v>183</v>
      </c>
    </row>
    <row r="43" spans="1:20" hidden="1" x14ac:dyDescent="0.25">
      <c r="J43" s="165" t="s">
        <v>184</v>
      </c>
      <c r="K43" s="165" t="s">
        <v>185</v>
      </c>
      <c r="L43" s="165" t="s">
        <v>186</v>
      </c>
      <c r="M43" s="165" t="s">
        <v>187</v>
      </c>
      <c r="N43" s="165" t="s">
        <v>188</v>
      </c>
      <c r="O43" s="165" t="s">
        <v>189</v>
      </c>
    </row>
    <row r="44" spans="1:20" hidden="1" x14ac:dyDescent="0.25">
      <c r="A44" s="139" t="s">
        <v>190</v>
      </c>
      <c r="B44" s="166">
        <v>0</v>
      </c>
      <c r="I44" s="139" t="s">
        <v>191</v>
      </c>
      <c r="J44" s="167">
        <f>+B44</f>
        <v>0</v>
      </c>
      <c r="K44" s="167">
        <f>+J44-K47</f>
        <v>0</v>
      </c>
      <c r="L44" s="167">
        <f>+K44-L47</f>
        <v>0</v>
      </c>
      <c r="M44" s="167">
        <f>+L44-M47</f>
        <v>0</v>
      </c>
      <c r="N44" s="167">
        <f>+M44-N47</f>
        <v>0</v>
      </c>
      <c r="O44" s="167">
        <f>+N44-O47</f>
        <v>0</v>
      </c>
    </row>
    <row r="45" spans="1:20" s="139" customFormat="1" hidden="1" x14ac:dyDescent="0.25">
      <c r="A45" s="139" t="s">
        <v>192</v>
      </c>
      <c r="B45" s="168">
        <v>60</v>
      </c>
      <c r="E45" s="169"/>
      <c r="I45" s="139" t="s">
        <v>193</v>
      </c>
      <c r="J45" s="167"/>
      <c r="K45" s="167">
        <f>+J44*$B$46</f>
        <v>0</v>
      </c>
      <c r="L45" s="167">
        <f>+K44*$B$46</f>
        <v>0</v>
      </c>
      <c r="M45" s="167">
        <f>+L44*$B$46</f>
        <v>0</v>
      </c>
      <c r="N45" s="167">
        <f>+M44*$B$46</f>
        <v>0</v>
      </c>
      <c r="O45" s="167">
        <f>+N44*$B$46</f>
        <v>0</v>
      </c>
      <c r="Q45"/>
      <c r="R45"/>
      <c r="S45"/>
      <c r="T45"/>
    </row>
    <row r="46" spans="1:20" s="139" customFormat="1" hidden="1" x14ac:dyDescent="0.25">
      <c r="A46" s="139" t="s">
        <v>194</v>
      </c>
      <c r="B46" s="170">
        <v>7.2599999999999998E-2</v>
      </c>
      <c r="I46" s="139" t="s">
        <v>195</v>
      </c>
      <c r="J46" s="167"/>
      <c r="K46" s="167">
        <f>+$B$47</f>
        <v>0</v>
      </c>
      <c r="L46" s="167">
        <f>+$B$47</f>
        <v>0</v>
      </c>
      <c r="M46" s="167">
        <f>+$B$47</f>
        <v>0</v>
      </c>
      <c r="N46" s="167">
        <f>+$B$47</f>
        <v>0</v>
      </c>
      <c r="O46" s="167">
        <f>+$B$47</f>
        <v>0</v>
      </c>
      <c r="Q46"/>
      <c r="R46"/>
      <c r="S46"/>
      <c r="T46"/>
    </row>
    <row r="47" spans="1:20" s="139" customFormat="1" hidden="1" x14ac:dyDescent="0.25">
      <c r="A47" s="139" t="s">
        <v>196</v>
      </c>
      <c r="B47" s="171">
        <f>PMT(B46,B45,-B44)</f>
        <v>0</v>
      </c>
      <c r="E47" s="169"/>
      <c r="I47" s="139" t="s">
        <v>197</v>
      </c>
      <c r="K47" s="146">
        <f>+K46-K45</f>
        <v>0</v>
      </c>
      <c r="L47" s="146">
        <f>+L46-L45</f>
        <v>0</v>
      </c>
      <c r="M47" s="146">
        <f>+M46-M45</f>
        <v>0</v>
      </c>
      <c r="N47" s="146">
        <f>+N46-N45</f>
        <v>0</v>
      </c>
      <c r="O47" s="146">
        <f>+O46-O45</f>
        <v>0</v>
      </c>
      <c r="Q47"/>
      <c r="R47"/>
      <c r="S47"/>
      <c r="T47"/>
    </row>
    <row r="48" spans="1:20" s="139" customFormat="1" hidden="1" x14ac:dyDescent="0.25">
      <c r="Q48"/>
      <c r="R48"/>
      <c r="S48"/>
      <c r="T48"/>
    </row>
    <row r="49" spans="1:20" s="139" customFormat="1" hidden="1" x14ac:dyDescent="0.25">
      <c r="Q49"/>
      <c r="R49"/>
      <c r="S49"/>
      <c r="T49"/>
    </row>
    <row r="50" spans="1:20" s="139" customFormat="1" ht="23.25" customHeight="1" x14ac:dyDescent="0.35">
      <c r="A50" s="370" t="s">
        <v>273</v>
      </c>
      <c r="B50" s="370"/>
      <c r="C50" s="370"/>
      <c r="D50" s="370"/>
      <c r="E50" s="370"/>
      <c r="F50" s="370"/>
      <c r="G50" s="370"/>
      <c r="Q50"/>
      <c r="R50"/>
      <c r="S50"/>
      <c r="T50"/>
    </row>
    <row r="51" spans="1:20" s="139" customFormat="1" x14ac:dyDescent="0.25">
      <c r="I51" s="147"/>
      <c r="J51" s="148">
        <v>2020</v>
      </c>
      <c r="K51" s="148">
        <v>2021</v>
      </c>
      <c r="L51" s="148">
        <v>2022</v>
      </c>
      <c r="M51" s="148">
        <v>2023</v>
      </c>
      <c r="N51" s="148">
        <v>2024</v>
      </c>
      <c r="O51" s="148">
        <v>2025</v>
      </c>
    </row>
    <row r="52" spans="1:20" s="139" customFormat="1" x14ac:dyDescent="0.25">
      <c r="A52" s="139" t="s">
        <v>190</v>
      </c>
      <c r="B52" s="154">
        <v>2000000000</v>
      </c>
      <c r="I52" s="139" t="s">
        <v>191</v>
      </c>
      <c r="J52" s="172">
        <f>+B52</f>
        <v>2000000000</v>
      </c>
      <c r="K52" s="172">
        <f>+J52-K55</f>
        <v>1600000000</v>
      </c>
      <c r="L52" s="172">
        <f>+K52-L55</f>
        <v>1200000000</v>
      </c>
      <c r="M52" s="172">
        <f>+L52-M55</f>
        <v>800000000</v>
      </c>
      <c r="N52" s="172">
        <f>+M52-N55</f>
        <v>400000000</v>
      </c>
      <c r="O52" s="172">
        <f>+N52-O55</f>
        <v>0</v>
      </c>
    </row>
    <row r="53" spans="1:20" s="139" customFormat="1" x14ac:dyDescent="0.25">
      <c r="A53" s="139" t="s">
        <v>192</v>
      </c>
      <c r="B53" s="168">
        <v>5</v>
      </c>
      <c r="I53" s="139" t="s">
        <v>198</v>
      </c>
      <c r="J53" s="172"/>
      <c r="K53" s="172">
        <f>+J52*$B$54</f>
        <v>140000000</v>
      </c>
      <c r="L53" s="172">
        <f>+K52*$B$54</f>
        <v>112000000.00000001</v>
      </c>
      <c r="M53" s="172">
        <f>+L52*$B$54</f>
        <v>84000000.000000015</v>
      </c>
      <c r="N53" s="172">
        <f>+M52*$B$54</f>
        <v>56000000.000000007</v>
      </c>
      <c r="O53" s="172">
        <f>+N52*$B$54</f>
        <v>28000000.000000004</v>
      </c>
    </row>
    <row r="54" spans="1:20" s="139" customFormat="1" x14ac:dyDescent="0.25">
      <c r="A54" s="139" t="s">
        <v>199</v>
      </c>
      <c r="B54" s="173">
        <v>7.0000000000000007E-2</v>
      </c>
      <c r="I54" s="139" t="s">
        <v>195</v>
      </c>
      <c r="J54" s="172"/>
      <c r="K54" s="172">
        <f>+K53+K55</f>
        <v>540000000</v>
      </c>
      <c r="L54" s="172">
        <f>+L53+L55</f>
        <v>512000000</v>
      </c>
      <c r="M54" s="172">
        <f>+M53+M55</f>
        <v>484000000</v>
      </c>
      <c r="N54" s="172">
        <f>+N53+N55</f>
        <v>456000000</v>
      </c>
      <c r="O54" s="172">
        <f>+O53+O55</f>
        <v>428000000</v>
      </c>
    </row>
    <row r="55" spans="1:20" s="139" customFormat="1" x14ac:dyDescent="0.25">
      <c r="A55" s="139" t="s">
        <v>182</v>
      </c>
      <c r="B55" s="153">
        <f>+B52/B53</f>
        <v>400000000</v>
      </c>
      <c r="I55" s="139" t="s">
        <v>197</v>
      </c>
      <c r="J55" s="153"/>
      <c r="K55" s="153">
        <f>+$B$55</f>
        <v>400000000</v>
      </c>
      <c r="L55" s="153">
        <f>+$B$55</f>
        <v>400000000</v>
      </c>
      <c r="M55" s="153">
        <f>+$B$55</f>
        <v>400000000</v>
      </c>
      <c r="N55" s="153">
        <f>+$B$55</f>
        <v>400000000</v>
      </c>
      <c r="O55" s="153">
        <f>+$B$55</f>
        <v>400000000</v>
      </c>
    </row>
    <row r="56" spans="1:20" s="139" customFormat="1" x14ac:dyDescent="0.25">
      <c r="Q56"/>
      <c r="R56"/>
      <c r="S56"/>
      <c r="T56"/>
    </row>
    <row r="57" spans="1:20" s="139" customFormat="1" x14ac:dyDescent="0.25">
      <c r="Q57"/>
      <c r="R57"/>
      <c r="S57"/>
      <c r="T57"/>
    </row>
    <row r="58" spans="1:20" s="139" customFormat="1" x14ac:dyDescent="0.25">
      <c r="I58" s="147"/>
      <c r="J58" s="148">
        <v>2020</v>
      </c>
      <c r="K58" s="148">
        <v>2021</v>
      </c>
      <c r="L58" s="148">
        <v>2022</v>
      </c>
      <c r="M58" s="148">
        <v>2023</v>
      </c>
      <c r="N58" s="148">
        <v>2024</v>
      </c>
      <c r="O58" s="148">
        <v>2025</v>
      </c>
      <c r="Q58"/>
      <c r="R58"/>
      <c r="S58"/>
      <c r="T58"/>
    </row>
    <row r="59" spans="1:20" s="139" customFormat="1" x14ac:dyDescent="0.25">
      <c r="I59" s="147" t="s">
        <v>200</v>
      </c>
      <c r="J59" s="174">
        <f>+B59</f>
        <v>0</v>
      </c>
      <c r="K59" s="175">
        <f>+K45+K53</f>
        <v>140000000</v>
      </c>
      <c r="L59" s="175">
        <f>+L45+L53</f>
        <v>112000000.00000001</v>
      </c>
      <c r="M59" s="175">
        <f>+M45+M53</f>
        <v>84000000.000000015</v>
      </c>
      <c r="N59" s="175">
        <f>+N45+N53</f>
        <v>56000000.000000007</v>
      </c>
      <c r="O59" s="175">
        <f>+O45+O53</f>
        <v>28000000.000000004</v>
      </c>
      <c r="Q59"/>
      <c r="R59"/>
      <c r="S59"/>
      <c r="T59"/>
    </row>
    <row r="60" spans="1:20" s="139" customFormat="1" x14ac:dyDescent="0.25">
      <c r="I60" s="147" t="s">
        <v>197</v>
      </c>
      <c r="J60" s="174"/>
      <c r="K60" s="175">
        <f>+K47+K55</f>
        <v>400000000</v>
      </c>
      <c r="L60" s="175">
        <f>+L47+L55</f>
        <v>400000000</v>
      </c>
      <c r="M60" s="175">
        <f>+M47+M55</f>
        <v>400000000</v>
      </c>
      <c r="N60" s="175">
        <f>+N47+N55</f>
        <v>400000000</v>
      </c>
      <c r="O60" s="175">
        <f>+O47+O55</f>
        <v>400000000</v>
      </c>
      <c r="Q60"/>
      <c r="R60"/>
      <c r="S60"/>
      <c r="T60"/>
    </row>
    <row r="61" spans="1:20" s="139" customFormat="1" x14ac:dyDescent="0.25">
      <c r="Q61"/>
      <c r="R61"/>
      <c r="S61"/>
      <c r="T61"/>
    </row>
    <row r="62" spans="1:20" s="139" customFormat="1" ht="23.25" x14ac:dyDescent="0.35">
      <c r="A62" s="370" t="s">
        <v>201</v>
      </c>
      <c r="B62" s="370"/>
      <c r="C62" s="370"/>
      <c r="D62" s="370"/>
      <c r="E62" s="370"/>
      <c r="F62" s="370"/>
      <c r="G62" s="370"/>
      <c r="Q62"/>
      <c r="R62"/>
      <c r="S62"/>
      <c r="T62"/>
    </row>
    <row r="63" spans="1:20" s="139" customFormat="1" x14ac:dyDescent="0.25">
      <c r="I63" s="147"/>
      <c r="J63" s="148">
        <v>2020</v>
      </c>
      <c r="K63" s="148">
        <v>2021</v>
      </c>
      <c r="L63" s="148">
        <v>2022</v>
      </c>
      <c r="M63" s="148">
        <v>2023</v>
      </c>
      <c r="N63" s="148">
        <v>2024</v>
      </c>
      <c r="O63" s="148">
        <v>2025</v>
      </c>
      <c r="Q63"/>
      <c r="R63"/>
      <c r="S63"/>
      <c r="T63"/>
    </row>
    <row r="64" spans="1:20" s="139" customFormat="1" x14ac:dyDescent="0.25">
      <c r="A64" s="139" t="s">
        <v>202</v>
      </c>
      <c r="B64" s="176">
        <f>(PYG!K10/PYG!G10)^(1/(4-1))-1</f>
        <v>0.19539867663232013</v>
      </c>
      <c r="I64" s="139" t="s">
        <v>203</v>
      </c>
      <c r="J64" s="167"/>
      <c r="K64" s="172">
        <f>PYG!G10</f>
        <v>4220588611.5</v>
      </c>
      <c r="L64" s="172">
        <f>PYG!H10</f>
        <v>4967842142.7000008</v>
      </c>
      <c r="M64" s="172">
        <f>PYG!I10</f>
        <v>5715095673.9000006</v>
      </c>
      <c r="N64" s="172">
        <f>PYG!J10</f>
        <v>6462349205.1000004</v>
      </c>
      <c r="O64" s="172">
        <f>PYG!K10</f>
        <v>7209602736.3000002</v>
      </c>
      <c r="Q64"/>
      <c r="R64"/>
      <c r="S64"/>
      <c r="T64"/>
    </row>
    <row r="65" spans="1:20" s="139" customFormat="1" x14ac:dyDescent="0.25">
      <c r="I65" s="139" t="s">
        <v>274</v>
      </c>
      <c r="K65" s="153">
        <f>K64*$B$64</f>
        <v>824697429.29654157</v>
      </c>
      <c r="L65" s="153">
        <f>L64*$B$64</f>
        <v>970709780.40184987</v>
      </c>
      <c r="M65" s="153">
        <f>M64*$B$64</f>
        <v>1116722131.507158</v>
      </c>
      <c r="N65" s="153">
        <f>N64*$B$64</f>
        <v>1262734482.6124661</v>
      </c>
      <c r="O65" s="153">
        <f>O64*$B$64</f>
        <v>1408746833.7177742</v>
      </c>
      <c r="Q65"/>
      <c r="R65"/>
      <c r="S65"/>
      <c r="T65"/>
    </row>
    <row r="66" spans="1:20" s="139" customFormat="1" x14ac:dyDescent="0.25">
      <c r="I66" s="147"/>
      <c r="J66" s="177"/>
      <c r="K66" s="158">
        <f>+K64+K65</f>
        <v>5045286040.7965412</v>
      </c>
      <c r="L66" s="158">
        <f>+L64+L65</f>
        <v>5938551923.1018505</v>
      </c>
      <c r="M66" s="158">
        <f>+M64+M65</f>
        <v>6831817805.4071589</v>
      </c>
      <c r="N66" s="158">
        <f>+N64+N65</f>
        <v>7725083687.7124662</v>
      </c>
      <c r="O66" s="158">
        <f>+O64+O65</f>
        <v>8618349570.0177746</v>
      </c>
      <c r="Q66"/>
      <c r="R66"/>
      <c r="S66"/>
      <c r="T66"/>
    </row>
    <row r="67" spans="1:20" s="139" customFormat="1" x14ac:dyDescent="0.25">
      <c r="I67" s="178"/>
      <c r="J67" s="179"/>
      <c r="K67" s="179"/>
      <c r="L67" s="179"/>
      <c r="M67" s="179"/>
      <c r="N67" s="179"/>
      <c r="O67" s="179"/>
      <c r="Q67"/>
      <c r="R67"/>
      <c r="S67"/>
      <c r="T67"/>
    </row>
    <row r="68" spans="1:20" s="139" customFormat="1" x14ac:dyDescent="0.25">
      <c r="B68" s="167"/>
      <c r="Q68"/>
      <c r="R68"/>
      <c r="S68"/>
      <c r="T68"/>
    </row>
    <row r="69" spans="1:20" s="139" customFormat="1" x14ac:dyDescent="0.25">
      <c r="A69" s="139" t="s">
        <v>281</v>
      </c>
      <c r="B69" s="180">
        <v>2.6800000000000001E-2</v>
      </c>
      <c r="Q69"/>
      <c r="R69"/>
      <c r="S69"/>
      <c r="T69"/>
    </row>
    <row r="70" spans="1:20" s="139" customFormat="1" x14ac:dyDescent="0.25">
      <c r="A70" s="139" t="s">
        <v>282</v>
      </c>
      <c r="B70" s="180">
        <v>2.6800000000000001E-2</v>
      </c>
      <c r="Q70"/>
      <c r="R70"/>
      <c r="S70"/>
      <c r="T70"/>
    </row>
    <row r="71" spans="1:20" s="139" customFormat="1" x14ac:dyDescent="0.25">
      <c r="Q71"/>
      <c r="R71"/>
      <c r="S71"/>
      <c r="T71"/>
    </row>
    <row r="72" spans="1:20" s="139" customFormat="1" ht="23.25" x14ac:dyDescent="0.35">
      <c r="A72" s="370" t="s">
        <v>206</v>
      </c>
      <c r="B72" s="370"/>
      <c r="C72" s="370"/>
      <c r="D72" s="370"/>
      <c r="E72" s="370"/>
      <c r="F72" s="370"/>
      <c r="G72" s="370"/>
      <c r="Q72"/>
      <c r="R72"/>
      <c r="S72"/>
      <c r="T72"/>
    </row>
    <row r="73" spans="1:20" s="139" customFormat="1" x14ac:dyDescent="0.25">
      <c r="Q73"/>
      <c r="R73"/>
      <c r="S73"/>
      <c r="T73"/>
    </row>
    <row r="74" spans="1:20" s="139" customFormat="1" ht="23.25" x14ac:dyDescent="0.35">
      <c r="A74" s="370" t="s">
        <v>207</v>
      </c>
      <c r="B74" s="370"/>
      <c r="C74" s="370"/>
      <c r="D74" s="370"/>
      <c r="E74" s="370"/>
      <c r="F74" s="370"/>
      <c r="G74" s="370"/>
      <c r="I74" s="147"/>
      <c r="J74" s="148">
        <v>2020</v>
      </c>
      <c r="K74" s="148">
        <v>2021</v>
      </c>
      <c r="L74" s="148">
        <v>2022</v>
      </c>
      <c r="M74" s="148">
        <v>2023</v>
      </c>
      <c r="N74" s="148">
        <v>2024</v>
      </c>
      <c r="O74" s="148">
        <v>2025</v>
      </c>
      <c r="Q74"/>
      <c r="R74"/>
      <c r="S74"/>
      <c r="T74"/>
    </row>
    <row r="75" spans="1:20" s="139" customFormat="1" x14ac:dyDescent="0.25">
      <c r="I75" s="139" t="s">
        <v>208</v>
      </c>
      <c r="J75" s="167"/>
      <c r="K75" s="172">
        <f>+K66</f>
        <v>5045286040.7965412</v>
      </c>
      <c r="L75" s="172">
        <f>+L66</f>
        <v>5938551923.1018505</v>
      </c>
      <c r="M75" s="172">
        <f>+M66</f>
        <v>6831817805.4071589</v>
      </c>
      <c r="N75" s="172">
        <f>+N66</f>
        <v>7725083687.7124662</v>
      </c>
      <c r="O75" s="172">
        <f>+O66</f>
        <v>8618349570.0177746</v>
      </c>
      <c r="Q75"/>
      <c r="R75"/>
      <c r="S75"/>
      <c r="T75"/>
    </row>
    <row r="76" spans="1:20" s="139" customFormat="1" x14ac:dyDescent="0.25">
      <c r="A76" s="181" t="s">
        <v>209</v>
      </c>
      <c r="B76" s="181" t="s">
        <v>210</v>
      </c>
      <c r="D76" s="181" t="s">
        <v>211</v>
      </c>
      <c r="E76" s="181" t="s">
        <v>212</v>
      </c>
      <c r="I76" s="139" t="s">
        <v>213</v>
      </c>
      <c r="J76" s="167"/>
      <c r="K76" s="172">
        <f>+B81</f>
        <v>98400000</v>
      </c>
      <c r="L76" s="172">
        <f>+K76*$B$69+K76</f>
        <v>101037120</v>
      </c>
      <c r="M76" s="172">
        <f>+L76*$B$69+L76</f>
        <v>103744914.816</v>
      </c>
      <c r="N76" s="172">
        <f>+M76*$B$69+M76</f>
        <v>106525278.53306881</v>
      </c>
      <c r="O76" s="172">
        <f>+N76*$B$69+N76</f>
        <v>109380155.99775505</v>
      </c>
      <c r="Q76"/>
      <c r="R76"/>
      <c r="S76"/>
      <c r="T76"/>
    </row>
    <row r="77" spans="1:20" s="139" customFormat="1" x14ac:dyDescent="0.25">
      <c r="A77" s="182" t="str">
        <f>+A21</f>
        <v xml:space="preserve">Campañas pautas facebook, instagram, linkedin, google, youtube </v>
      </c>
      <c r="B77" s="183">
        <v>2000000</v>
      </c>
      <c r="D77" s="184">
        <v>12</v>
      </c>
      <c r="E77" s="195">
        <f>+B77/$B$80</f>
        <v>0.24390243902439024</v>
      </c>
      <c r="I77" s="147"/>
      <c r="J77" s="147"/>
      <c r="K77" s="158">
        <f>+K75-K76</f>
        <v>4946886040.7965412</v>
      </c>
      <c r="L77" s="158">
        <f>+L75-L76</f>
        <v>5837514803.1018505</v>
      </c>
      <c r="M77" s="158">
        <f>+M75-M76</f>
        <v>6728072890.5911589</v>
      </c>
      <c r="N77" s="158">
        <f>+N75-N76</f>
        <v>7618558409.1793976</v>
      </c>
      <c r="O77" s="158">
        <f>+O75-O76</f>
        <v>8508969414.0200195</v>
      </c>
      <c r="Q77"/>
      <c r="R77"/>
      <c r="S77"/>
      <c r="T77"/>
    </row>
    <row r="78" spans="1:20" s="139" customFormat="1" x14ac:dyDescent="0.25">
      <c r="A78" s="182" t="str">
        <f>+A22</f>
        <v xml:space="preserve">Hosting y dominios </v>
      </c>
      <c r="B78" s="183">
        <v>4200000</v>
      </c>
      <c r="D78" s="184">
        <v>12</v>
      </c>
      <c r="E78" s="185">
        <f>+B78/$B$80</f>
        <v>0.51219512195121952</v>
      </c>
      <c r="K78" s="153"/>
      <c r="L78" s="153"/>
      <c r="M78" s="153"/>
      <c r="N78" s="153"/>
      <c r="O78" s="153"/>
      <c r="Q78"/>
      <c r="R78"/>
      <c r="S78"/>
      <c r="T78"/>
    </row>
    <row r="79" spans="1:20" s="139" customFormat="1" x14ac:dyDescent="0.25">
      <c r="A79" s="182" t="str">
        <f>+A23</f>
        <v>Accesos con pago a stock(contenido en linea)</v>
      </c>
      <c r="B79" s="183">
        <v>2000000</v>
      </c>
      <c r="D79" s="184">
        <v>12</v>
      </c>
      <c r="E79" s="186">
        <f>+B79/$B$80</f>
        <v>0.24390243902439024</v>
      </c>
      <c r="Q79"/>
      <c r="R79"/>
      <c r="S79"/>
      <c r="T79"/>
    </row>
    <row r="80" spans="1:20" s="139" customFormat="1" x14ac:dyDescent="0.25">
      <c r="B80" s="183">
        <f>SUM(B77:B79)</f>
        <v>8200000</v>
      </c>
      <c r="D80" s="184">
        <v>12</v>
      </c>
      <c r="Q80"/>
      <c r="R80"/>
      <c r="S80"/>
      <c r="T80"/>
    </row>
    <row r="81" spans="1:20" s="139" customFormat="1" x14ac:dyDescent="0.25">
      <c r="A81" s="184" t="s">
        <v>214</v>
      </c>
      <c r="B81" s="183">
        <f>+B80*D80</f>
        <v>98400000</v>
      </c>
      <c r="D81" s="184" t="s">
        <v>215</v>
      </c>
      <c r="Q81"/>
      <c r="R81"/>
      <c r="S81"/>
      <c r="T81"/>
    </row>
    <row r="82" spans="1:20" s="139" customFormat="1" x14ac:dyDescent="0.25">
      <c r="B82" s="187"/>
      <c r="Q82"/>
      <c r="R82"/>
      <c r="S82"/>
      <c r="T82"/>
    </row>
    <row r="83" spans="1:20" s="139" customFormat="1" x14ac:dyDescent="0.25">
      <c r="B83" s="187"/>
      <c r="Q83"/>
      <c r="R83"/>
      <c r="S83"/>
      <c r="T83"/>
    </row>
    <row r="84" spans="1:20" s="139" customFormat="1" x14ac:dyDescent="0.25">
      <c r="I84" s="147"/>
      <c r="J84" s="148">
        <v>2020</v>
      </c>
      <c r="K84" s="148">
        <v>2021</v>
      </c>
      <c r="L84" s="148">
        <v>2022</v>
      </c>
      <c r="M84" s="148">
        <v>2023</v>
      </c>
      <c r="N84" s="148">
        <v>2024</v>
      </c>
      <c r="O84" s="148">
        <v>2025</v>
      </c>
      <c r="Q84"/>
      <c r="R84"/>
      <c r="S84"/>
      <c r="T84"/>
    </row>
    <row r="85" spans="1:20" s="139" customFormat="1" ht="23.25" x14ac:dyDescent="0.35">
      <c r="A85" s="370" t="s">
        <v>216</v>
      </c>
      <c r="B85" s="370"/>
      <c r="C85" s="370"/>
      <c r="D85" s="370"/>
      <c r="E85" s="370"/>
      <c r="F85" s="370"/>
      <c r="G85" s="370"/>
      <c r="I85" s="139" t="s">
        <v>217</v>
      </c>
      <c r="J85" s="167"/>
      <c r="K85" s="172">
        <f>+B92</f>
        <v>504000000</v>
      </c>
      <c r="L85" s="172">
        <f>+K85*$B$70+K85</f>
        <v>517507200</v>
      </c>
      <c r="M85" s="172">
        <f>+L85*$B$70+L85</f>
        <v>531376392.95999998</v>
      </c>
      <c r="N85" s="172">
        <f>+M85*$B$70+M85</f>
        <v>545617280.29132795</v>
      </c>
      <c r="O85" s="172">
        <f>+N85*$B$70+N85</f>
        <v>560239823.40313554</v>
      </c>
      <c r="Q85"/>
      <c r="R85"/>
      <c r="S85"/>
      <c r="T85"/>
    </row>
    <row r="86" spans="1:20" s="139" customFormat="1" x14ac:dyDescent="0.25">
      <c r="J86" s="167"/>
      <c r="K86" s="167"/>
      <c r="L86" s="167"/>
      <c r="M86" s="167"/>
      <c r="N86" s="167"/>
      <c r="O86" s="167"/>
      <c r="Q86"/>
      <c r="R86"/>
      <c r="S86"/>
      <c r="T86"/>
    </row>
    <row r="87" spans="1:20" s="139" customFormat="1" x14ac:dyDescent="0.25">
      <c r="A87" s="181" t="s">
        <v>209</v>
      </c>
      <c r="B87" s="181" t="s">
        <v>210</v>
      </c>
      <c r="D87" s="181" t="s">
        <v>211</v>
      </c>
      <c r="I87" s="147"/>
      <c r="J87" s="148">
        <v>2020</v>
      </c>
      <c r="K87" s="148">
        <v>2021</v>
      </c>
      <c r="L87" s="148">
        <v>2022</v>
      </c>
      <c r="M87" s="148">
        <v>2023</v>
      </c>
      <c r="N87" s="148">
        <v>2024</v>
      </c>
      <c r="O87" s="148">
        <v>2025</v>
      </c>
      <c r="Q87"/>
      <c r="R87"/>
      <c r="S87"/>
      <c r="T87"/>
    </row>
    <row r="88" spans="1:20" s="139" customFormat="1" x14ac:dyDescent="0.25">
      <c r="A88" s="182" t="s">
        <v>218</v>
      </c>
      <c r="B88" s="183">
        <f>+B19</f>
        <v>42000000</v>
      </c>
      <c r="D88" s="184">
        <v>12</v>
      </c>
      <c r="I88" s="147" t="s">
        <v>219</v>
      </c>
      <c r="J88" s="174"/>
      <c r="K88" s="175">
        <f>+K76+K85</f>
        <v>602400000</v>
      </c>
      <c r="L88" s="175">
        <f>+L76+L85</f>
        <v>618544320</v>
      </c>
      <c r="M88" s="175">
        <f>+M76+M85</f>
        <v>635121307.77600002</v>
      </c>
      <c r="N88" s="175">
        <f>+N76+N85</f>
        <v>652142558.82439673</v>
      </c>
      <c r="O88" s="175">
        <f>+O76+O85</f>
        <v>669619979.40089059</v>
      </c>
      <c r="Q88"/>
      <c r="R88"/>
      <c r="S88"/>
      <c r="T88"/>
    </row>
    <row r="89" spans="1:20" s="139" customFormat="1" x14ac:dyDescent="0.25">
      <c r="A89" s="182"/>
      <c r="B89" s="183"/>
      <c r="D89" s="184"/>
      <c r="P89" s="146"/>
      <c r="Q89"/>
      <c r="R89"/>
      <c r="S89"/>
      <c r="T89"/>
    </row>
    <row r="90" spans="1:20" s="139" customFormat="1" x14ac:dyDescent="0.25">
      <c r="A90" s="182"/>
      <c r="B90" s="183"/>
      <c r="D90" s="184">
        <f>SUM(D88:D89)</f>
        <v>12</v>
      </c>
      <c r="P90" s="146"/>
      <c r="Q90"/>
      <c r="R90"/>
      <c r="S90"/>
      <c r="T90"/>
    </row>
    <row r="91" spans="1:20" s="139" customFormat="1" x14ac:dyDescent="0.25">
      <c r="B91" s="183">
        <f>SUM(B88:B90)</f>
        <v>42000000</v>
      </c>
      <c r="P91" s="146"/>
      <c r="Q91"/>
      <c r="R91"/>
      <c r="S91"/>
      <c r="T91"/>
    </row>
    <row r="92" spans="1:20" s="139" customFormat="1" x14ac:dyDescent="0.25">
      <c r="A92" s="184" t="s">
        <v>220</v>
      </c>
      <c r="B92" s="183">
        <f>+B91*D90</f>
        <v>504000000</v>
      </c>
      <c r="D92" s="184" t="s">
        <v>215</v>
      </c>
      <c r="Q92"/>
      <c r="R92"/>
      <c r="S92"/>
      <c r="T92"/>
    </row>
    <row r="93" spans="1:20" s="139" customFormat="1" x14ac:dyDescent="0.25">
      <c r="Q93"/>
      <c r="R93"/>
      <c r="S93"/>
      <c r="T93"/>
    </row>
    <row r="94" spans="1:20" s="139" customFormat="1" ht="23.25" x14ac:dyDescent="0.35">
      <c r="A94" s="370" t="s">
        <v>221</v>
      </c>
      <c r="B94" s="370"/>
      <c r="C94" s="370"/>
      <c r="D94" s="370"/>
      <c r="E94" s="370"/>
      <c r="F94" s="370"/>
      <c r="G94" s="370"/>
      <c r="Q94"/>
      <c r="R94"/>
      <c r="S94"/>
      <c r="T94"/>
    </row>
    <row r="95" spans="1:20" s="139" customFormat="1" x14ac:dyDescent="0.25">
      <c r="E95" s="169"/>
      <c r="P95" s="169"/>
      <c r="Q95"/>
      <c r="R95"/>
      <c r="S95"/>
      <c r="T95"/>
    </row>
    <row r="96" spans="1:20" s="139" customFormat="1" x14ac:dyDescent="0.25">
      <c r="A96" s="139" t="s">
        <v>224</v>
      </c>
      <c r="B96" s="176">
        <v>0.2</v>
      </c>
      <c r="I96" s="147"/>
      <c r="J96" s="148">
        <v>2020</v>
      </c>
      <c r="K96" s="148">
        <v>2021</v>
      </c>
      <c r="L96" s="148">
        <v>2022</v>
      </c>
      <c r="M96" s="148">
        <v>2023</v>
      </c>
      <c r="N96" s="148">
        <v>2024</v>
      </c>
      <c r="O96" s="148">
        <v>2025</v>
      </c>
      <c r="P96" s="169"/>
      <c r="Q96"/>
      <c r="R96"/>
      <c r="S96"/>
      <c r="T96"/>
    </row>
    <row r="97" spans="1:20" s="139" customFormat="1" x14ac:dyDescent="0.25">
      <c r="I97" s="139" t="s">
        <v>219</v>
      </c>
      <c r="J97" s="167">
        <f t="shared" ref="J97:O97" si="4">+J88</f>
        <v>0</v>
      </c>
      <c r="K97" s="172">
        <f t="shared" si="4"/>
        <v>602400000</v>
      </c>
      <c r="L97" s="172">
        <f t="shared" si="4"/>
        <v>618544320</v>
      </c>
      <c r="M97" s="172">
        <f t="shared" si="4"/>
        <v>635121307.77600002</v>
      </c>
      <c r="N97" s="172">
        <f t="shared" si="4"/>
        <v>652142558.82439673</v>
      </c>
      <c r="O97" s="172">
        <f t="shared" si="4"/>
        <v>669619979.40089059</v>
      </c>
      <c r="Q97"/>
      <c r="R97"/>
      <c r="S97"/>
      <c r="T97"/>
    </row>
    <row r="98" spans="1:20" s="139" customFormat="1" x14ac:dyDescent="0.25">
      <c r="I98" s="139" t="s">
        <v>222</v>
      </c>
      <c r="K98" s="172">
        <f>+K97*$B$96</f>
        <v>120480000</v>
      </c>
      <c r="L98" s="172">
        <f>+L97*$B$96</f>
        <v>123708864</v>
      </c>
      <c r="M98" s="172">
        <f>+M97*$B$96</f>
        <v>127024261.55520001</v>
      </c>
      <c r="N98" s="172">
        <f>+N97*$B$96</f>
        <v>130428511.76487935</v>
      </c>
      <c r="O98" s="172">
        <f>+O97*$B$96</f>
        <v>133923995.88017812</v>
      </c>
      <c r="Q98"/>
      <c r="R98"/>
      <c r="S98"/>
      <c r="T98"/>
    </row>
    <row r="99" spans="1:20" s="139" customFormat="1" x14ac:dyDescent="0.25">
      <c r="I99" s="147" t="s">
        <v>223</v>
      </c>
      <c r="J99" s="158">
        <f>+K98</f>
        <v>120480000</v>
      </c>
      <c r="K99" s="158">
        <f>+L98-K98</f>
        <v>3228864</v>
      </c>
      <c r="L99" s="158">
        <f>+M98-L98</f>
        <v>3315397.5552000105</v>
      </c>
      <c r="M99" s="158">
        <f>+N98-M98</f>
        <v>3404250.2096793354</v>
      </c>
      <c r="N99" s="158">
        <f>+O98-N98</f>
        <v>3495484.1152987778</v>
      </c>
      <c r="O99" s="158"/>
      <c r="Q99"/>
      <c r="R99"/>
      <c r="S99"/>
      <c r="T99"/>
    </row>
    <row r="100" spans="1:20" s="139" customFormat="1" x14ac:dyDescent="0.25">
      <c r="Q100"/>
      <c r="R100"/>
      <c r="S100"/>
      <c r="T100"/>
    </row>
    <row r="101" spans="1:20" s="139" customFormat="1" x14ac:dyDescent="0.25">
      <c r="Q101"/>
      <c r="R101"/>
      <c r="S101"/>
      <c r="T101"/>
    </row>
    <row r="102" spans="1:20" s="139" customFormat="1" x14ac:dyDescent="0.25">
      <c r="A102" s="139" t="s">
        <v>226</v>
      </c>
      <c r="B102" s="176">
        <v>0.31</v>
      </c>
      <c r="I102" s="139" t="s">
        <v>225</v>
      </c>
      <c r="Q102"/>
      <c r="R102"/>
      <c r="S102"/>
      <c r="T102"/>
    </row>
    <row r="103" spans="1:20" s="139" customFormat="1" x14ac:dyDescent="0.25">
      <c r="A103" s="139" t="s">
        <v>228</v>
      </c>
      <c r="B103" s="188">
        <v>0.25</v>
      </c>
      <c r="Q103"/>
      <c r="R103"/>
      <c r="S103"/>
      <c r="T103"/>
    </row>
    <row r="104" spans="1:20" s="139" customFormat="1" x14ac:dyDescent="0.25">
      <c r="A104" s="139" t="s">
        <v>230</v>
      </c>
      <c r="B104" s="139">
        <v>3</v>
      </c>
      <c r="I104" s="147"/>
      <c r="J104" s="148">
        <v>2020</v>
      </c>
      <c r="K104" s="148">
        <v>2021</v>
      </c>
      <c r="L104" s="148">
        <v>2022</v>
      </c>
      <c r="M104" s="148">
        <v>2023</v>
      </c>
      <c r="N104" s="148">
        <v>2024</v>
      </c>
      <c r="O104" s="148">
        <v>2025</v>
      </c>
      <c r="Q104"/>
      <c r="R104"/>
      <c r="S104"/>
      <c r="T104"/>
    </row>
    <row r="105" spans="1:20" s="139" customFormat="1" x14ac:dyDescent="0.25">
      <c r="Q105"/>
      <c r="R105"/>
      <c r="S105"/>
      <c r="T105"/>
    </row>
    <row r="106" spans="1:20" s="139" customFormat="1" x14ac:dyDescent="0.25">
      <c r="I106" s="139" t="s">
        <v>227</v>
      </c>
      <c r="J106" s="167"/>
      <c r="K106" s="172">
        <f>+K66</f>
        <v>5045286040.7965412</v>
      </c>
      <c r="L106" s="172">
        <f>+L66</f>
        <v>5938551923.1018505</v>
      </c>
      <c r="M106" s="172">
        <f>+M66</f>
        <v>6831817805.4071589</v>
      </c>
      <c r="N106" s="172">
        <f>+N66</f>
        <v>7725083687.7124662</v>
      </c>
      <c r="O106" s="172">
        <f>+O66</f>
        <v>8618349570.0177746</v>
      </c>
      <c r="Q106"/>
      <c r="R106"/>
      <c r="S106"/>
      <c r="T106"/>
    </row>
    <row r="107" spans="1:20" s="139" customFormat="1" x14ac:dyDescent="0.25">
      <c r="I107" s="139" t="s">
        <v>229</v>
      </c>
      <c r="J107" s="167"/>
      <c r="K107" s="172">
        <f>+K88</f>
        <v>602400000</v>
      </c>
      <c r="L107" s="172">
        <f>+L88</f>
        <v>618544320</v>
      </c>
      <c r="M107" s="172">
        <f>+M88</f>
        <v>635121307.77600002</v>
      </c>
      <c r="N107" s="172">
        <f>+N88</f>
        <v>652142558.82439673</v>
      </c>
      <c r="O107" s="172">
        <f>+O88</f>
        <v>669619979.40089059</v>
      </c>
      <c r="Q107"/>
      <c r="R107"/>
      <c r="S107"/>
      <c r="T107"/>
    </row>
    <row r="108" spans="1:20" s="139" customFormat="1" x14ac:dyDescent="0.25">
      <c r="I108" s="139" t="s">
        <v>231</v>
      </c>
      <c r="J108" s="167"/>
      <c r="K108" s="172">
        <f>+K36</f>
        <v>174200000</v>
      </c>
      <c r="L108" s="172">
        <f>+L36</f>
        <v>174200000</v>
      </c>
      <c r="M108" s="172">
        <f>+M36</f>
        <v>174200000</v>
      </c>
      <c r="N108" s="172">
        <f>+N36</f>
        <v>174200000</v>
      </c>
      <c r="O108" s="172">
        <f>+O36</f>
        <v>174200000</v>
      </c>
      <c r="Q108"/>
      <c r="R108"/>
      <c r="S108"/>
      <c r="T108"/>
    </row>
    <row r="109" spans="1:20" s="139" customFormat="1" x14ac:dyDescent="0.25">
      <c r="I109" s="139" t="s">
        <v>200</v>
      </c>
      <c r="J109" s="167"/>
      <c r="K109" s="172">
        <f>+K59</f>
        <v>140000000</v>
      </c>
      <c r="L109" s="172">
        <f>+L59</f>
        <v>112000000.00000001</v>
      </c>
      <c r="M109" s="172">
        <f>+M59</f>
        <v>84000000.000000015</v>
      </c>
      <c r="N109" s="172">
        <f>+N59</f>
        <v>56000000.000000007</v>
      </c>
      <c r="O109" s="172">
        <f>+O59</f>
        <v>28000000.000000004</v>
      </c>
      <c r="Q109"/>
      <c r="R109"/>
      <c r="S109"/>
      <c r="T109"/>
    </row>
    <row r="110" spans="1:20" s="139" customFormat="1" x14ac:dyDescent="0.25">
      <c r="I110" s="139" t="s">
        <v>232</v>
      </c>
      <c r="J110" s="167"/>
      <c r="K110" s="172">
        <f>+K106-K107-K108-K109</f>
        <v>4128686040.7965412</v>
      </c>
      <c r="L110" s="172">
        <f>+L106-L107-L108-L109</f>
        <v>5033807603.1018505</v>
      </c>
      <c r="M110" s="172">
        <f>+M106-M107-M108-M109</f>
        <v>5938496497.6311588</v>
      </c>
      <c r="N110" s="172">
        <f>+N106-N107-N108-N109</f>
        <v>6842741128.8880692</v>
      </c>
      <c r="O110" s="172">
        <f>+O106-O107-O108-O109</f>
        <v>7746529590.6168842</v>
      </c>
      <c r="Q110"/>
      <c r="R110"/>
      <c r="S110"/>
      <c r="T110"/>
    </row>
    <row r="111" spans="1:20" s="139" customFormat="1" x14ac:dyDescent="0.25">
      <c r="K111" s="153"/>
      <c r="L111" s="153"/>
      <c r="M111" s="153"/>
      <c r="N111" s="153"/>
      <c r="O111" s="153"/>
      <c r="Q111"/>
      <c r="R111"/>
      <c r="S111"/>
      <c r="T111"/>
    </row>
    <row r="112" spans="1:20" s="139" customFormat="1" x14ac:dyDescent="0.25">
      <c r="I112" s="139" t="s">
        <v>233</v>
      </c>
      <c r="J112" s="167"/>
      <c r="K112" s="172">
        <f>+K110*($B$102)</f>
        <v>1279892672.6469278</v>
      </c>
      <c r="L112" s="172">
        <f>+L110*($B$102)</f>
        <v>1560480356.9615736</v>
      </c>
      <c r="M112" s="172">
        <f>+M110*($B$102)</f>
        <v>1840933914.2656593</v>
      </c>
      <c r="N112" s="172">
        <f>+N110*($B$102)</f>
        <v>2121249749.9553015</v>
      </c>
      <c r="O112" s="172">
        <f>+O110*($B$102)</f>
        <v>2401424173.0912342</v>
      </c>
      <c r="Q112"/>
      <c r="R112"/>
      <c r="S112"/>
      <c r="T112"/>
    </row>
    <row r="113" spans="5:20" s="139" customFormat="1" x14ac:dyDescent="0.25">
      <c r="K113" s="153"/>
      <c r="L113" s="153"/>
      <c r="M113" s="153"/>
      <c r="N113" s="153"/>
      <c r="O113" s="153"/>
      <c r="Q113"/>
      <c r="R113"/>
      <c r="S113"/>
      <c r="T113"/>
    </row>
    <row r="114" spans="5:20" s="139" customFormat="1" x14ac:dyDescent="0.25">
      <c r="I114" s="139" t="s">
        <v>234</v>
      </c>
      <c r="K114" s="153">
        <f>+K110-K112</f>
        <v>2848793368.1496134</v>
      </c>
      <c r="L114" s="153">
        <f>+L110-L112</f>
        <v>3473327246.1402769</v>
      </c>
      <c r="M114" s="153">
        <f>+M110-M112</f>
        <v>4097562583.3654995</v>
      </c>
      <c r="N114" s="153">
        <f>+N110-N112</f>
        <v>4721491378.9327679</v>
      </c>
      <c r="O114" s="153">
        <f>+O110-O112</f>
        <v>5345105417.52565</v>
      </c>
      <c r="Q114"/>
      <c r="R114"/>
      <c r="S114"/>
      <c r="T114"/>
    </row>
    <row r="115" spans="5:20" s="139" customFormat="1" x14ac:dyDescent="0.25">
      <c r="K115" s="153"/>
      <c r="L115" s="153"/>
      <c r="M115" s="153"/>
      <c r="N115" s="153"/>
      <c r="O115" s="153"/>
      <c r="Q115"/>
      <c r="R115"/>
      <c r="S115"/>
      <c r="T115"/>
    </row>
    <row r="116" spans="5:20" s="139" customFormat="1" x14ac:dyDescent="0.25">
      <c r="I116" s="139" t="s">
        <v>231</v>
      </c>
      <c r="K116" s="153">
        <f>+K108</f>
        <v>174200000</v>
      </c>
      <c r="L116" s="153">
        <f>+L108</f>
        <v>174200000</v>
      </c>
      <c r="M116" s="153">
        <f>+M108</f>
        <v>174200000</v>
      </c>
      <c r="N116" s="153">
        <f>+N108</f>
        <v>174200000</v>
      </c>
      <c r="O116" s="153">
        <f>+O108</f>
        <v>174200000</v>
      </c>
      <c r="Q116"/>
      <c r="R116"/>
      <c r="S116"/>
      <c r="T116"/>
    </row>
    <row r="117" spans="5:20" s="139" customFormat="1" x14ac:dyDescent="0.25">
      <c r="K117" s="153"/>
      <c r="L117" s="153"/>
      <c r="M117" s="153"/>
      <c r="N117" s="153"/>
      <c r="O117" s="153"/>
      <c r="Q117"/>
      <c r="R117"/>
      <c r="S117"/>
      <c r="T117"/>
    </row>
    <row r="118" spans="5:20" s="139" customFormat="1" x14ac:dyDescent="0.25">
      <c r="I118" s="139" t="s">
        <v>235</v>
      </c>
      <c r="K118" s="153">
        <f>+K60</f>
        <v>400000000</v>
      </c>
      <c r="L118" s="153">
        <f>+L60</f>
        <v>400000000</v>
      </c>
      <c r="M118" s="153">
        <f>+M60</f>
        <v>400000000</v>
      </c>
      <c r="N118" s="153">
        <f>+N60</f>
        <v>400000000</v>
      </c>
      <c r="O118" s="153">
        <f>+O60</f>
        <v>400000000</v>
      </c>
      <c r="Q118"/>
      <c r="R118"/>
      <c r="S118"/>
      <c r="T118"/>
    </row>
    <row r="119" spans="5:20" s="139" customFormat="1" x14ac:dyDescent="0.25">
      <c r="K119" s="153"/>
      <c r="L119" s="153"/>
      <c r="M119" s="153"/>
      <c r="N119" s="153"/>
      <c r="O119" s="153"/>
      <c r="Q119"/>
      <c r="R119"/>
      <c r="S119"/>
      <c r="T119"/>
    </row>
    <row r="120" spans="5:20" s="139" customFormat="1" x14ac:dyDescent="0.25">
      <c r="E120" s="169"/>
      <c r="I120" s="139" t="s">
        <v>236</v>
      </c>
      <c r="K120" s="153">
        <f>+K114+K116-K118</f>
        <v>2622993368.1496134</v>
      </c>
      <c r="L120" s="153">
        <f>+L114+L116-L118</f>
        <v>3247527246.1402769</v>
      </c>
      <c r="M120" s="153">
        <f>+M114+M116-M118</f>
        <v>3871762583.3654995</v>
      </c>
      <c r="N120" s="153">
        <f>+N114+N116-N118</f>
        <v>4495691378.9327679</v>
      </c>
      <c r="O120" s="153">
        <f>+O114+O116-O118</f>
        <v>5119305417.52565</v>
      </c>
      <c r="Q120"/>
      <c r="R120"/>
      <c r="S120"/>
      <c r="T120"/>
    </row>
    <row r="121" spans="5:20" s="139" customFormat="1" x14ac:dyDescent="0.25">
      <c r="Q121"/>
      <c r="R121"/>
      <c r="S121"/>
      <c r="T121"/>
    </row>
    <row r="122" spans="5:20" s="139" customFormat="1" x14ac:dyDescent="0.25">
      <c r="Q122"/>
      <c r="R122"/>
      <c r="S122"/>
      <c r="T122"/>
    </row>
    <row r="123" spans="5:20" s="139" customFormat="1" x14ac:dyDescent="0.25">
      <c r="Q123"/>
      <c r="R123"/>
      <c r="S123"/>
      <c r="T123"/>
    </row>
    <row r="124" spans="5:20" s="139" customFormat="1" x14ac:dyDescent="0.25">
      <c r="I124" s="139" t="s">
        <v>237</v>
      </c>
      <c r="Q124"/>
      <c r="R124"/>
      <c r="S124"/>
      <c r="T124"/>
    </row>
    <row r="125" spans="5:20" s="139" customFormat="1" x14ac:dyDescent="0.25">
      <c r="Q125"/>
      <c r="R125"/>
      <c r="S125"/>
      <c r="T125"/>
    </row>
    <row r="126" spans="5:20" s="139" customFormat="1" x14ac:dyDescent="0.25">
      <c r="I126" s="147"/>
      <c r="J126" s="148">
        <v>2020</v>
      </c>
      <c r="K126" s="148">
        <v>2021</v>
      </c>
      <c r="L126" s="148">
        <v>2022</v>
      </c>
      <c r="M126" s="148">
        <v>2023</v>
      </c>
      <c r="N126" s="148">
        <v>2024</v>
      </c>
      <c r="O126" s="148">
        <v>2025</v>
      </c>
      <c r="Q126"/>
      <c r="R126"/>
      <c r="S126"/>
      <c r="T126"/>
    </row>
    <row r="127" spans="5:20" s="139" customFormat="1" x14ac:dyDescent="0.25">
      <c r="I127" s="139" t="s">
        <v>238</v>
      </c>
      <c r="J127" s="153">
        <f>+B34+B35+B33+B36</f>
        <v>1742000000</v>
      </c>
      <c r="K127" s="153"/>
      <c r="L127" s="153"/>
      <c r="M127" s="153"/>
      <c r="N127" s="153"/>
      <c r="O127" s="153"/>
      <c r="Q127"/>
      <c r="R127"/>
      <c r="S127"/>
      <c r="T127"/>
    </row>
    <row r="128" spans="5:20" s="139" customFormat="1" x14ac:dyDescent="0.25">
      <c r="I128" s="139" t="s">
        <v>239</v>
      </c>
      <c r="J128" s="153">
        <f>+SUM(J98:O98)</f>
        <v>635565633.20025742</v>
      </c>
      <c r="K128" s="153">
        <f>+K99</f>
        <v>3228864</v>
      </c>
      <c r="L128" s="153">
        <f>+L99</f>
        <v>3315397.5552000105</v>
      </c>
      <c r="M128" s="153">
        <f>+M99</f>
        <v>3404250.2096793354</v>
      </c>
      <c r="N128" s="153">
        <f>+N99</f>
        <v>3495484.1152987778</v>
      </c>
      <c r="O128" s="153">
        <f>+O99</f>
        <v>0</v>
      </c>
      <c r="Q128"/>
      <c r="R128"/>
      <c r="S128"/>
      <c r="T128"/>
    </row>
    <row r="129" spans="9:20" s="139" customFormat="1" x14ac:dyDescent="0.25">
      <c r="I129" s="139" t="s">
        <v>240</v>
      </c>
      <c r="J129" s="153">
        <f>+B44+B52</f>
        <v>2000000000</v>
      </c>
      <c r="K129" s="153"/>
      <c r="L129" s="153"/>
      <c r="M129" s="153"/>
      <c r="N129" s="153"/>
      <c r="O129" s="153"/>
      <c r="Q129"/>
      <c r="R129"/>
      <c r="S129"/>
      <c r="T129"/>
    </row>
    <row r="130" spans="9:20" s="139" customFormat="1" x14ac:dyDescent="0.25">
      <c r="J130" s="189">
        <f>SUM(J127:J129)</f>
        <v>4377565633.2002573</v>
      </c>
      <c r="K130" s="153"/>
      <c r="L130" s="153"/>
      <c r="M130" s="153"/>
      <c r="N130" s="153"/>
      <c r="O130" s="153"/>
      <c r="Q130"/>
      <c r="R130"/>
      <c r="S130"/>
      <c r="T130"/>
    </row>
    <row r="131" spans="9:20" s="139" customFormat="1" x14ac:dyDescent="0.25">
      <c r="I131" s="139" t="s">
        <v>241</v>
      </c>
      <c r="J131" s="153">
        <f t="shared" ref="J131:O131" si="5">+J127+J128-J129</f>
        <v>377565633.2002573</v>
      </c>
      <c r="K131" s="153">
        <f t="shared" si="5"/>
        <v>3228864</v>
      </c>
      <c r="L131" s="153">
        <f t="shared" si="5"/>
        <v>3315397.5552000105</v>
      </c>
      <c r="M131" s="153">
        <f t="shared" si="5"/>
        <v>3404250.2096793354</v>
      </c>
      <c r="N131" s="153">
        <f t="shared" si="5"/>
        <v>3495484.1152987778</v>
      </c>
      <c r="O131" s="153">
        <f t="shared" si="5"/>
        <v>0</v>
      </c>
      <c r="Q131"/>
      <c r="R131"/>
      <c r="S131"/>
      <c r="T131"/>
    </row>
    <row r="132" spans="9:20" s="139" customFormat="1" x14ac:dyDescent="0.25">
      <c r="Q132"/>
      <c r="R132"/>
      <c r="S132"/>
      <c r="T132"/>
    </row>
    <row r="133" spans="9:20" s="139" customFormat="1" x14ac:dyDescent="0.25">
      <c r="Q133"/>
      <c r="R133"/>
      <c r="S133"/>
      <c r="T133"/>
    </row>
    <row r="134" spans="9:20" s="139" customFormat="1" x14ac:dyDescent="0.25">
      <c r="I134" s="139" t="s">
        <v>242</v>
      </c>
      <c r="Q134"/>
      <c r="R134"/>
      <c r="S134"/>
      <c r="T134"/>
    </row>
    <row r="135" spans="9:20" s="139" customFormat="1" x14ac:dyDescent="0.25">
      <c r="P135" s="146"/>
      <c r="Q135"/>
      <c r="R135"/>
      <c r="S135"/>
      <c r="T135"/>
    </row>
    <row r="136" spans="9:20" s="139" customFormat="1" x14ac:dyDescent="0.25">
      <c r="I136" s="147"/>
      <c r="J136" s="148">
        <v>2020</v>
      </c>
      <c r="K136" s="148">
        <v>2021</v>
      </c>
      <c r="L136" s="148">
        <v>2022</v>
      </c>
      <c r="M136" s="148">
        <v>2023</v>
      </c>
      <c r="N136" s="148">
        <v>2024</v>
      </c>
      <c r="O136" s="148">
        <v>2025</v>
      </c>
      <c r="Q136"/>
      <c r="R136"/>
      <c r="S136"/>
      <c r="T136"/>
    </row>
    <row r="137" spans="9:20" s="139" customFormat="1" x14ac:dyDescent="0.25">
      <c r="I137" s="139" t="s">
        <v>236</v>
      </c>
      <c r="J137" s="153">
        <f t="shared" ref="J137:O137" si="6">+J120</f>
        <v>0</v>
      </c>
      <c r="K137" s="153">
        <f t="shared" si="6"/>
        <v>2622993368.1496134</v>
      </c>
      <c r="L137" s="153">
        <f t="shared" si="6"/>
        <v>3247527246.1402769</v>
      </c>
      <c r="M137" s="153">
        <f t="shared" si="6"/>
        <v>3871762583.3654995</v>
      </c>
      <c r="N137" s="153">
        <f t="shared" si="6"/>
        <v>4495691378.9327679</v>
      </c>
      <c r="O137" s="153">
        <f t="shared" si="6"/>
        <v>5119305417.52565</v>
      </c>
      <c r="Q137"/>
      <c r="R137"/>
      <c r="S137"/>
      <c r="T137"/>
    </row>
    <row r="138" spans="9:20" s="139" customFormat="1" x14ac:dyDescent="0.25">
      <c r="I138" s="139" t="s">
        <v>243</v>
      </c>
      <c r="J138" s="153">
        <f t="shared" ref="J138:O138" si="7">+J131</f>
        <v>377565633.2002573</v>
      </c>
      <c r="K138" s="153">
        <f t="shared" si="7"/>
        <v>3228864</v>
      </c>
      <c r="L138" s="153">
        <f t="shared" si="7"/>
        <v>3315397.5552000105</v>
      </c>
      <c r="M138" s="153">
        <f t="shared" si="7"/>
        <v>3404250.2096793354</v>
      </c>
      <c r="N138" s="153">
        <f t="shared" si="7"/>
        <v>3495484.1152987778</v>
      </c>
      <c r="O138" s="153">
        <f t="shared" si="7"/>
        <v>0</v>
      </c>
      <c r="Q138"/>
      <c r="R138"/>
      <c r="S138"/>
      <c r="T138"/>
    </row>
    <row r="139" spans="9:20" s="139" customFormat="1" x14ac:dyDescent="0.25">
      <c r="I139" s="147" t="s">
        <v>242</v>
      </c>
      <c r="J139" s="177">
        <f t="shared" ref="J139:O139" si="8">+J137-J138</f>
        <v>-377565633.2002573</v>
      </c>
      <c r="K139" s="177">
        <f t="shared" si="8"/>
        <v>2619764504.1496134</v>
      </c>
      <c r="L139" s="177">
        <f t="shared" si="8"/>
        <v>3244211848.5850768</v>
      </c>
      <c r="M139" s="177">
        <f t="shared" si="8"/>
        <v>3868358333.1558204</v>
      </c>
      <c r="N139" s="177">
        <f t="shared" si="8"/>
        <v>4492195894.8174686</v>
      </c>
      <c r="O139" s="177">
        <f t="shared" si="8"/>
        <v>5119305417.52565</v>
      </c>
      <c r="Q139"/>
      <c r="R139"/>
      <c r="S139"/>
      <c r="T139"/>
    </row>
    <row r="140" spans="9:20" s="139" customFormat="1" x14ac:dyDescent="0.25">
      <c r="Q140"/>
      <c r="R140"/>
      <c r="S140"/>
      <c r="T140"/>
    </row>
    <row r="141" spans="9:20" s="139" customFormat="1" x14ac:dyDescent="0.25">
      <c r="Q141"/>
      <c r="R141"/>
      <c r="S141"/>
      <c r="T141"/>
    </row>
    <row r="142" spans="9:20" s="139" customFormat="1" x14ac:dyDescent="0.25">
      <c r="Q142"/>
      <c r="R142"/>
      <c r="S142"/>
      <c r="T142"/>
    </row>
    <row r="143" spans="9:20" s="139" customFormat="1" x14ac:dyDescent="0.25">
      <c r="I143" s="139" t="s">
        <v>244</v>
      </c>
      <c r="Q143"/>
      <c r="R143"/>
      <c r="S143"/>
      <c r="T143"/>
    </row>
    <row r="144" spans="9:20" s="139" customFormat="1" x14ac:dyDescent="0.25">
      <c r="Q144"/>
      <c r="R144"/>
      <c r="S144"/>
      <c r="T144"/>
    </row>
    <row r="145" spans="9:20" s="139" customFormat="1" x14ac:dyDescent="0.25">
      <c r="I145" s="147"/>
      <c r="J145" s="148">
        <v>2020</v>
      </c>
      <c r="K145" s="148">
        <v>2021</v>
      </c>
      <c r="L145" s="148">
        <v>2022</v>
      </c>
      <c r="M145" s="148">
        <v>2023</v>
      </c>
      <c r="N145" s="148">
        <v>2024</v>
      </c>
      <c r="O145" s="148">
        <v>2025</v>
      </c>
      <c r="Q145"/>
      <c r="R145"/>
      <c r="S145"/>
      <c r="T145"/>
    </row>
    <row r="146" spans="9:20" s="139" customFormat="1" x14ac:dyDescent="0.25">
      <c r="I146" s="139" t="s">
        <v>245</v>
      </c>
      <c r="J146" s="172">
        <f t="shared" ref="J146:O146" si="9">+J139</f>
        <v>-377565633.2002573</v>
      </c>
      <c r="K146" s="172">
        <f t="shared" si="9"/>
        <v>2619764504.1496134</v>
      </c>
      <c r="L146" s="172">
        <f t="shared" si="9"/>
        <v>3244211848.5850768</v>
      </c>
      <c r="M146" s="172">
        <f t="shared" si="9"/>
        <v>3868358333.1558204</v>
      </c>
      <c r="N146" s="172">
        <f t="shared" si="9"/>
        <v>4492195894.8174686</v>
      </c>
      <c r="O146" s="172">
        <f t="shared" si="9"/>
        <v>5119305417.52565</v>
      </c>
      <c r="Q146"/>
      <c r="R146"/>
      <c r="S146"/>
      <c r="T146"/>
    </row>
    <row r="147" spans="9:20" s="139" customFormat="1" x14ac:dyDescent="0.25">
      <c r="I147" s="139" t="s">
        <v>240</v>
      </c>
      <c r="J147" s="172">
        <f t="shared" ref="J147:O147" si="10">+J129</f>
        <v>2000000000</v>
      </c>
      <c r="K147" s="172">
        <f t="shared" si="10"/>
        <v>0</v>
      </c>
      <c r="L147" s="172">
        <f t="shared" si="10"/>
        <v>0</v>
      </c>
      <c r="M147" s="172">
        <f t="shared" si="10"/>
        <v>0</v>
      </c>
      <c r="N147" s="172">
        <f t="shared" si="10"/>
        <v>0</v>
      </c>
      <c r="O147" s="172">
        <f t="shared" si="10"/>
        <v>0</v>
      </c>
      <c r="P147" s="146"/>
      <c r="Q147"/>
      <c r="R147"/>
      <c r="S147"/>
      <c r="T147"/>
    </row>
    <row r="148" spans="9:20" s="139" customFormat="1" x14ac:dyDescent="0.25">
      <c r="I148" s="139" t="s">
        <v>200</v>
      </c>
      <c r="J148" s="172">
        <f t="shared" ref="J148:O148" si="11">+J109</f>
        <v>0</v>
      </c>
      <c r="K148" s="172">
        <f t="shared" si="11"/>
        <v>140000000</v>
      </c>
      <c r="L148" s="172">
        <f t="shared" si="11"/>
        <v>112000000.00000001</v>
      </c>
      <c r="M148" s="172">
        <f t="shared" si="11"/>
        <v>84000000.000000015</v>
      </c>
      <c r="N148" s="172">
        <f t="shared" si="11"/>
        <v>56000000.000000007</v>
      </c>
      <c r="O148" s="172">
        <f t="shared" si="11"/>
        <v>28000000.000000004</v>
      </c>
      <c r="Q148"/>
      <c r="R148"/>
      <c r="S148"/>
      <c r="T148"/>
    </row>
    <row r="149" spans="9:20" s="139" customFormat="1" x14ac:dyDescent="0.25">
      <c r="I149" s="139" t="s">
        <v>246</v>
      </c>
      <c r="J149" s="172">
        <f t="shared" ref="J149:O149" si="12">+J118</f>
        <v>0</v>
      </c>
      <c r="K149" s="172">
        <f>+K118</f>
        <v>400000000</v>
      </c>
      <c r="L149" s="172">
        <f t="shared" si="12"/>
        <v>400000000</v>
      </c>
      <c r="M149" s="172">
        <f t="shared" si="12"/>
        <v>400000000</v>
      </c>
      <c r="N149" s="172">
        <f t="shared" si="12"/>
        <v>400000000</v>
      </c>
      <c r="O149" s="172">
        <f t="shared" si="12"/>
        <v>400000000</v>
      </c>
      <c r="Q149"/>
      <c r="R149"/>
      <c r="S149"/>
      <c r="T149"/>
    </row>
    <row r="150" spans="9:20" s="139" customFormat="1" x14ac:dyDescent="0.25">
      <c r="I150" s="139" t="s">
        <v>247</v>
      </c>
      <c r="J150" s="172">
        <f t="shared" ref="J150:O150" si="13">+J148*$B$102</f>
        <v>0</v>
      </c>
      <c r="K150" s="172">
        <f>+K148*$B$102</f>
        <v>43400000</v>
      </c>
      <c r="L150" s="172">
        <f t="shared" si="13"/>
        <v>34720000.000000007</v>
      </c>
      <c r="M150" s="172">
        <f t="shared" si="13"/>
        <v>26040000.000000004</v>
      </c>
      <c r="N150" s="172">
        <f t="shared" si="13"/>
        <v>17360000.000000004</v>
      </c>
      <c r="O150" s="172">
        <f t="shared" si="13"/>
        <v>8680000.0000000019</v>
      </c>
      <c r="Q150"/>
      <c r="R150"/>
      <c r="S150"/>
      <c r="T150"/>
    </row>
    <row r="151" spans="9:20" s="139" customFormat="1" x14ac:dyDescent="0.25">
      <c r="I151" s="147" t="s">
        <v>244</v>
      </c>
      <c r="J151" s="158">
        <f t="shared" ref="J151:O151" si="14">+J146-J147+J148+J149-J150</f>
        <v>-2377565633.2002573</v>
      </c>
      <c r="K151" s="158">
        <f>+K146-K147+K148+K149-K150</f>
        <v>3116364504.1496134</v>
      </c>
      <c r="L151" s="158">
        <f t="shared" si="14"/>
        <v>3721491848.5850768</v>
      </c>
      <c r="M151" s="158">
        <f t="shared" si="14"/>
        <v>4326318333.1558208</v>
      </c>
      <c r="N151" s="158">
        <f t="shared" si="14"/>
        <v>4930835894.8174686</v>
      </c>
      <c r="O151" s="158">
        <f t="shared" si="14"/>
        <v>5538625417.52565</v>
      </c>
      <c r="Q151"/>
      <c r="R151"/>
      <c r="S151"/>
      <c r="T151"/>
    </row>
    <row r="152" spans="9:20" s="139" customFormat="1" x14ac:dyDescent="0.25">
      <c r="Q152"/>
      <c r="R152"/>
      <c r="S152"/>
      <c r="T152"/>
    </row>
    <row r="153" spans="9:20" s="139" customFormat="1" x14ac:dyDescent="0.25">
      <c r="Q153"/>
      <c r="R153"/>
      <c r="S153"/>
      <c r="T153"/>
    </row>
    <row r="154" spans="9:20" s="139" customFormat="1" x14ac:dyDescent="0.25">
      <c r="Q154"/>
      <c r="R154"/>
      <c r="S154"/>
      <c r="T154"/>
    </row>
    <row r="155" spans="9:20" s="139" customFormat="1" x14ac:dyDescent="0.25">
      <c r="Q155"/>
      <c r="R155"/>
      <c r="S155"/>
      <c r="T155"/>
    </row>
    <row r="156" spans="9:20" s="139" customFormat="1" x14ac:dyDescent="0.25">
      <c r="I156" s="139" t="s">
        <v>248</v>
      </c>
      <c r="Q156"/>
      <c r="R156"/>
      <c r="S156"/>
      <c r="T156"/>
    </row>
    <row r="157" spans="9:20" s="139" customFormat="1" x14ac:dyDescent="0.25">
      <c r="I157" s="139" t="s">
        <v>249</v>
      </c>
      <c r="J157" s="139" t="s">
        <v>250</v>
      </c>
      <c r="K157" s="139" t="s">
        <v>251</v>
      </c>
      <c r="L157" s="139" t="s">
        <v>252</v>
      </c>
      <c r="M157" s="139" t="s">
        <v>253</v>
      </c>
      <c r="Q157"/>
      <c r="R157"/>
      <c r="S157"/>
      <c r="T157"/>
    </row>
    <row r="158" spans="9:20" s="139" customFormat="1" x14ac:dyDescent="0.25">
      <c r="I158" s="139" t="s">
        <v>254</v>
      </c>
      <c r="J158" s="153">
        <f>+J131</f>
        <v>377565633.2002573</v>
      </c>
      <c r="K158" s="180">
        <f>+J158/$J$160</f>
        <v>0.15880345338439528</v>
      </c>
      <c r="L158" s="190">
        <f>+B103</f>
        <v>0.25</v>
      </c>
      <c r="M158" s="180">
        <f>+K158*L158</f>
        <v>3.9700863346098819E-2</v>
      </c>
      <c r="Q158"/>
      <c r="R158"/>
      <c r="S158"/>
      <c r="T158"/>
    </row>
    <row r="159" spans="9:20" s="139" customFormat="1" x14ac:dyDescent="0.25">
      <c r="I159" s="139" t="s">
        <v>255</v>
      </c>
      <c r="J159" s="153">
        <f>+B52</f>
        <v>2000000000</v>
      </c>
      <c r="K159" s="180">
        <f>+J159/$J$160</f>
        <v>0.84119654661560472</v>
      </c>
      <c r="L159" s="190">
        <f>+B54*(1-B102)</f>
        <v>4.8300000000000003E-2</v>
      </c>
      <c r="M159" s="180">
        <f>+K159*L159</f>
        <v>4.0629793201533711E-2</v>
      </c>
      <c r="Q159"/>
      <c r="R159"/>
      <c r="S159"/>
      <c r="T159"/>
    </row>
    <row r="160" spans="9:20" s="139" customFormat="1" x14ac:dyDescent="0.25">
      <c r="I160" s="139" t="s">
        <v>256</v>
      </c>
      <c r="J160" s="153">
        <f>SUM(J158:J159)</f>
        <v>2377565633.2002573</v>
      </c>
      <c r="K160" s="176">
        <f>SUM(K158:K159)</f>
        <v>1</v>
      </c>
      <c r="M160" s="191">
        <f>SUM(M158:M159)</f>
        <v>8.0330656547632523E-2</v>
      </c>
      <c r="Q160"/>
      <c r="R160"/>
      <c r="S160"/>
      <c r="T160"/>
    </row>
    <row r="161" spans="5:20" s="139" customFormat="1" hidden="1" x14ac:dyDescent="0.25">
      <c r="Q161"/>
      <c r="R161"/>
      <c r="S161"/>
      <c r="T161"/>
    </row>
    <row r="162" spans="5:20" s="139" customFormat="1" hidden="1" x14ac:dyDescent="0.25">
      <c r="I162" s="139" t="s">
        <v>257</v>
      </c>
      <c r="Q162"/>
      <c r="R162"/>
      <c r="S162"/>
      <c r="T162"/>
    </row>
    <row r="163" spans="5:20" s="139" customFormat="1" hidden="1" x14ac:dyDescent="0.25">
      <c r="Q163"/>
      <c r="R163"/>
      <c r="S163"/>
      <c r="T163"/>
    </row>
    <row r="164" spans="5:20" s="139" customFormat="1" hidden="1" x14ac:dyDescent="0.25">
      <c r="I164" s="192" t="s">
        <v>258</v>
      </c>
      <c r="J164" s="192" t="s">
        <v>259</v>
      </c>
      <c r="Q164"/>
      <c r="R164"/>
      <c r="S164"/>
      <c r="T164"/>
    </row>
    <row r="165" spans="5:20" s="139" customFormat="1" hidden="1" x14ac:dyDescent="0.25">
      <c r="Q165"/>
      <c r="R165"/>
      <c r="S165"/>
      <c r="T165"/>
    </row>
    <row r="166" spans="5:20" s="139" customFormat="1" hidden="1" x14ac:dyDescent="0.25">
      <c r="E166" s="139" t="s">
        <v>263</v>
      </c>
      <c r="I166" s="139" t="s">
        <v>260</v>
      </c>
      <c r="J166" s="146">
        <f>+(O139)*(1+B104)/(B103-B104)</f>
        <v>-7446262425.4918547</v>
      </c>
      <c r="Q166"/>
      <c r="R166"/>
      <c r="S166"/>
      <c r="T166"/>
    </row>
    <row r="167" spans="5:20" s="139" customFormat="1" hidden="1" x14ac:dyDescent="0.25">
      <c r="E167" s="139" t="s">
        <v>264</v>
      </c>
      <c r="I167" s="139" t="s">
        <v>261</v>
      </c>
      <c r="J167" s="146">
        <f>+SUM(J128:O128)</f>
        <v>649009629.08043551</v>
      </c>
      <c r="Q167"/>
      <c r="R167"/>
      <c r="S167"/>
      <c r="T167"/>
    </row>
    <row r="168" spans="5:20" s="139" customFormat="1" x14ac:dyDescent="0.25">
      <c r="I168" s="139" t="s">
        <v>262</v>
      </c>
      <c r="J168" s="146">
        <f>+O44+O52</f>
        <v>0</v>
      </c>
      <c r="Q168"/>
      <c r="R168"/>
      <c r="S168"/>
      <c r="T168"/>
    </row>
    <row r="169" spans="5:20" s="139" customFormat="1" x14ac:dyDescent="0.25">
      <c r="I169" s="139" t="s">
        <v>257</v>
      </c>
      <c r="J169" s="146">
        <f>+J166+J167-J168</f>
        <v>-6797252796.4114189</v>
      </c>
      <c r="Q169"/>
      <c r="R169"/>
      <c r="S169"/>
      <c r="T169"/>
    </row>
    <row r="170" spans="5:20" s="139" customFormat="1" x14ac:dyDescent="0.25">
      <c r="Q170"/>
      <c r="R170"/>
      <c r="S170"/>
      <c r="T170"/>
    </row>
    <row r="171" spans="5:20" s="139" customFormat="1" x14ac:dyDescent="0.25">
      <c r="Q171"/>
      <c r="R171"/>
      <c r="S171"/>
      <c r="T171"/>
    </row>
    <row r="172" spans="5:20" s="139" customFormat="1" x14ac:dyDescent="0.25">
      <c r="I172" s="147" t="s">
        <v>265</v>
      </c>
      <c r="J172" s="148">
        <v>2020</v>
      </c>
      <c r="K172" s="148">
        <v>2021</v>
      </c>
      <c r="L172" s="148">
        <v>2022</v>
      </c>
      <c r="M172" s="148">
        <v>2023</v>
      </c>
      <c r="N172" s="148">
        <v>2024</v>
      </c>
      <c r="O172" s="148">
        <v>2025</v>
      </c>
      <c r="Q172"/>
      <c r="R172"/>
      <c r="S172"/>
      <c r="T172"/>
    </row>
    <row r="173" spans="5:20" s="139" customFormat="1" x14ac:dyDescent="0.25">
      <c r="J173" s="153">
        <f>+J139</f>
        <v>-377565633.2002573</v>
      </c>
      <c r="K173" s="153">
        <f>+K139</f>
        <v>2619764504.1496134</v>
      </c>
      <c r="L173" s="153">
        <f>+L139</f>
        <v>3244211848.5850768</v>
      </c>
      <c r="M173" s="153">
        <f>+M139</f>
        <v>3868358333.1558204</v>
      </c>
      <c r="N173" s="153">
        <f>+N139</f>
        <v>4492195894.8174686</v>
      </c>
      <c r="O173" s="153">
        <f>+O139+J169</f>
        <v>-1677947378.8857689</v>
      </c>
      <c r="Q173"/>
      <c r="R173"/>
      <c r="S173"/>
      <c r="T173"/>
    </row>
    <row r="174" spans="5:20" s="139" customFormat="1" x14ac:dyDescent="0.25">
      <c r="Q174"/>
      <c r="R174"/>
      <c r="S174"/>
      <c r="T174"/>
    </row>
    <row r="175" spans="5:20" s="139" customFormat="1" x14ac:dyDescent="0.25">
      <c r="I175" s="139" t="s">
        <v>266</v>
      </c>
      <c r="J175" s="176">
        <f>+B103</f>
        <v>0.25</v>
      </c>
      <c r="Q175"/>
      <c r="R175"/>
      <c r="S175"/>
      <c r="T175"/>
    </row>
    <row r="176" spans="5:20" s="139" customFormat="1" x14ac:dyDescent="0.25">
      <c r="I176" s="139" t="s">
        <v>267</v>
      </c>
      <c r="J176" s="153">
        <f>NPV(J175,K173:O173)+J173</f>
        <v>7065314661.1936083</v>
      </c>
      <c r="Q176"/>
      <c r="R176"/>
      <c r="S176"/>
      <c r="T176"/>
    </row>
    <row r="177" spans="9:20" s="139" customFormat="1" x14ac:dyDescent="0.25">
      <c r="I177" s="139" t="s">
        <v>268</v>
      </c>
      <c r="J177" s="153">
        <f>+J176*J175</f>
        <v>1766328665.2984021</v>
      </c>
      <c r="Q177"/>
      <c r="R177"/>
      <c r="S177"/>
      <c r="T177"/>
    </row>
    <row r="178" spans="9:20" s="139" customFormat="1" hidden="1" x14ac:dyDescent="0.25">
      <c r="I178" s="139" t="s">
        <v>269</v>
      </c>
      <c r="J178" s="193">
        <f>(J176-J173)/-J173</f>
        <v>19.712811866132508</v>
      </c>
      <c r="Q178"/>
      <c r="R178"/>
      <c r="S178"/>
      <c r="T178"/>
    </row>
    <row r="179" spans="9:20" s="139" customFormat="1" hidden="1" x14ac:dyDescent="0.25">
      <c r="I179" s="139" t="s">
        <v>270</v>
      </c>
      <c r="J179" s="194">
        <f>IRR(J173:O173)</f>
        <v>7.1653893023356474</v>
      </c>
      <c r="Q179"/>
      <c r="R179"/>
      <c r="S179"/>
      <c r="T179"/>
    </row>
    <row r="180" spans="9:20" s="139" customFormat="1" hidden="1" x14ac:dyDescent="0.25">
      <c r="I180" s="139" t="s">
        <v>271</v>
      </c>
      <c r="J180" s="190">
        <f>MIRR(J173:O173,25,J175)</f>
        <v>1.3017083925216721</v>
      </c>
      <c r="Q180"/>
      <c r="R180"/>
      <c r="S180"/>
      <c r="T180"/>
    </row>
    <row r="181" spans="9:20" s="139" customFormat="1" hidden="1" x14ac:dyDescent="0.25">
      <c r="Q181"/>
      <c r="R181"/>
      <c r="S181"/>
      <c r="T181"/>
    </row>
    <row r="182" spans="9:20" s="139" customFormat="1" hidden="1" x14ac:dyDescent="0.25">
      <c r="Q182"/>
      <c r="R182"/>
      <c r="S182"/>
      <c r="T182"/>
    </row>
    <row r="183" spans="9:20" s="139" customFormat="1" hidden="1" x14ac:dyDescent="0.25">
      <c r="I183" s="192" t="s">
        <v>258</v>
      </c>
      <c r="J183" s="192" t="s">
        <v>272</v>
      </c>
      <c r="Q183"/>
      <c r="R183"/>
      <c r="S183"/>
      <c r="T183"/>
    </row>
    <row r="184" spans="9:20" s="139" customFormat="1" hidden="1" x14ac:dyDescent="0.25">
      <c r="Q184"/>
      <c r="R184"/>
      <c r="S184"/>
      <c r="T184"/>
    </row>
    <row r="185" spans="9:20" s="139" customFormat="1" x14ac:dyDescent="0.25">
      <c r="I185" s="139" t="s">
        <v>260</v>
      </c>
      <c r="J185" s="146">
        <f>+(O151*(1+B104))/(M160-B104)</f>
        <v>-7588017362.2352648</v>
      </c>
      <c r="Q185"/>
      <c r="R185"/>
      <c r="S185"/>
      <c r="T185"/>
    </row>
    <row r="186" spans="9:20" s="139" customFormat="1" x14ac:dyDescent="0.25">
      <c r="I186" s="139" t="s">
        <v>261</v>
      </c>
      <c r="J186" s="146">
        <f>+SUM(J128:O128)</f>
        <v>649009629.08043551</v>
      </c>
      <c r="Q186"/>
      <c r="R186"/>
      <c r="S186"/>
      <c r="T186"/>
    </row>
    <row r="187" spans="9:20" s="139" customFormat="1" x14ac:dyDescent="0.25">
      <c r="I187" s="139" t="s">
        <v>257</v>
      </c>
      <c r="J187" s="146">
        <f>+J185+J186</f>
        <v>-6939007733.154829</v>
      </c>
      <c r="Q187"/>
      <c r="R187"/>
      <c r="S187"/>
      <c r="T187"/>
    </row>
    <row r="188" spans="9:20" s="139" customFormat="1" x14ac:dyDescent="0.25">
      <c r="Q188"/>
      <c r="R188"/>
      <c r="S188"/>
      <c r="T188"/>
    </row>
    <row r="189" spans="9:20" s="139" customFormat="1" x14ac:dyDescent="0.25">
      <c r="Q189"/>
      <c r="R189"/>
      <c r="S189"/>
      <c r="T189"/>
    </row>
    <row r="190" spans="9:20" s="139" customFormat="1" x14ac:dyDescent="0.25">
      <c r="I190" s="147" t="s">
        <v>265</v>
      </c>
      <c r="J190" s="148">
        <v>2020</v>
      </c>
      <c r="K190" s="148">
        <v>2021</v>
      </c>
      <c r="L190" s="148">
        <v>2022</v>
      </c>
      <c r="M190" s="148">
        <v>2023</v>
      </c>
      <c r="N190" s="148">
        <v>2024</v>
      </c>
      <c r="O190" s="148">
        <v>2025</v>
      </c>
      <c r="Q190"/>
      <c r="R190"/>
      <c r="S190"/>
      <c r="T190"/>
    </row>
    <row r="191" spans="9:20" s="139" customFormat="1" x14ac:dyDescent="0.25">
      <c r="J191" s="153">
        <f>+J151</f>
        <v>-2377565633.2002573</v>
      </c>
      <c r="K191" s="153">
        <f>+K151</f>
        <v>3116364504.1496134</v>
      </c>
      <c r="L191" s="153">
        <f>+L151</f>
        <v>3721491848.5850768</v>
      </c>
      <c r="M191" s="153">
        <f>+M151</f>
        <v>4326318333.1558208</v>
      </c>
      <c r="N191" s="153">
        <f>+N151</f>
        <v>4930835894.8174686</v>
      </c>
      <c r="O191" s="153">
        <f>+O151+J187</f>
        <v>-1400382315.629179</v>
      </c>
      <c r="Q191"/>
      <c r="R191"/>
      <c r="S191"/>
      <c r="T191"/>
    </row>
    <row r="192" spans="9:20" s="139" customFormat="1" x14ac:dyDescent="0.25">
      <c r="Q192"/>
      <c r="R192"/>
      <c r="S192"/>
      <c r="T192"/>
    </row>
    <row r="193" spans="9:20" s="139" customFormat="1" x14ac:dyDescent="0.25">
      <c r="I193" s="139" t="s">
        <v>266</v>
      </c>
      <c r="J193" s="232">
        <f>+M160</f>
        <v>8.0330656547632523E-2</v>
      </c>
      <c r="Q193"/>
      <c r="R193"/>
      <c r="S193"/>
      <c r="T193"/>
    </row>
    <row r="194" spans="9:20" s="139" customFormat="1" x14ac:dyDescent="0.25">
      <c r="I194" s="139" t="s">
        <v>267</v>
      </c>
      <c r="J194" s="153">
        <f>NPV(J193,K191:O191)+J191</f>
        <v>9795176430.108326</v>
      </c>
      <c r="Q194"/>
      <c r="R194"/>
      <c r="S194"/>
      <c r="T194"/>
    </row>
    <row r="195" spans="9:20" s="139" customFormat="1" x14ac:dyDescent="0.25">
      <c r="I195" s="139" t="s">
        <v>268</v>
      </c>
      <c r="J195" s="153">
        <f>+J194*J193</f>
        <v>786852953.6304971</v>
      </c>
      <c r="Q195"/>
      <c r="R195"/>
      <c r="S195"/>
      <c r="T195"/>
    </row>
    <row r="196" spans="9:20" s="139" customFormat="1" x14ac:dyDescent="0.25">
      <c r="I196" s="139" t="s">
        <v>269</v>
      </c>
      <c r="J196" s="193">
        <f>+(J194-J191)/-J191</f>
        <v>5.1198342932488448</v>
      </c>
      <c r="Q196"/>
      <c r="R196"/>
      <c r="S196"/>
      <c r="T196"/>
    </row>
    <row r="197" spans="9:20" s="139" customFormat="1" x14ac:dyDescent="0.25">
      <c r="I197" s="139" t="s">
        <v>270</v>
      </c>
      <c r="J197" s="190">
        <f>IRR(J191:O191)</f>
        <v>1.4065699791826982</v>
      </c>
      <c r="Q197"/>
      <c r="R197"/>
      <c r="S197"/>
      <c r="T197"/>
    </row>
    <row r="198" spans="9:20" s="139" customFormat="1" x14ac:dyDescent="0.25">
      <c r="I198" s="139" t="s">
        <v>271</v>
      </c>
      <c r="J198" s="190">
        <f>MIRR(J191:O191,25,J193)</f>
        <v>0.52035787208541051</v>
      </c>
      <c r="Q198"/>
      <c r="R198"/>
      <c r="S198"/>
      <c r="T198"/>
    </row>
  </sheetData>
  <mergeCells count="11">
    <mergeCell ref="B1:I1"/>
    <mergeCell ref="B2:I2"/>
    <mergeCell ref="A74:G74"/>
    <mergeCell ref="A85:G85"/>
    <mergeCell ref="A94:G94"/>
    <mergeCell ref="A72:G72"/>
    <mergeCell ref="A29:G29"/>
    <mergeCell ref="A31:G31"/>
    <mergeCell ref="A40:G40"/>
    <mergeCell ref="A50:G50"/>
    <mergeCell ref="A62:G6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9"/>
  <sheetViews>
    <sheetView showGridLines="0" zoomScaleNormal="100" workbookViewId="0">
      <selection activeCell="B10" sqref="B10:F10"/>
    </sheetView>
  </sheetViews>
  <sheetFormatPr baseColWidth="10" defaultRowHeight="15" x14ac:dyDescent="0.25"/>
  <cols>
    <col min="1" max="1" width="58.5703125" bestFit="1" customWidth="1"/>
    <col min="2" max="2" width="23.140625" bestFit="1" customWidth="1"/>
    <col min="3" max="3" width="14.5703125" customWidth="1"/>
    <col min="4" max="4" width="16.85546875" bestFit="1" customWidth="1"/>
    <col min="5" max="6" width="19.28515625" bestFit="1" customWidth="1"/>
    <col min="7" max="7" width="9.85546875" bestFit="1" customWidth="1"/>
    <col min="8" max="8" width="14.7109375" style="283" bestFit="1" customWidth="1"/>
    <col min="9" max="9" width="24" bestFit="1" customWidth="1"/>
    <col min="10" max="13" width="8.85546875" bestFit="1" customWidth="1"/>
  </cols>
  <sheetData>
    <row r="1" spans="1:13" x14ac:dyDescent="0.25">
      <c r="A1" s="1" t="s">
        <v>40</v>
      </c>
    </row>
    <row r="2" spans="1:13" x14ac:dyDescent="0.25">
      <c r="A2" s="1" t="s">
        <v>152</v>
      </c>
    </row>
    <row r="3" spans="1:13" x14ac:dyDescent="0.25">
      <c r="A3" s="1" t="s">
        <v>1</v>
      </c>
    </row>
    <row r="8" spans="1:13" x14ac:dyDescent="0.25">
      <c r="A8" s="363" t="s">
        <v>83</v>
      </c>
      <c r="B8" s="102"/>
      <c r="H8" s="362" t="s">
        <v>365</v>
      </c>
      <c r="I8" s="362"/>
      <c r="J8" s="362"/>
      <c r="K8" s="362"/>
      <c r="L8" s="362"/>
      <c r="M8" s="362"/>
    </row>
    <row r="9" spans="1:13" x14ac:dyDescent="0.25">
      <c r="A9" s="363"/>
      <c r="B9" s="2">
        <v>2021</v>
      </c>
      <c r="C9" s="2">
        <v>2022</v>
      </c>
      <c r="D9" s="2">
        <v>2023</v>
      </c>
      <c r="E9" s="2">
        <v>2024</v>
      </c>
      <c r="F9" s="2">
        <v>2025</v>
      </c>
      <c r="H9" s="238"/>
      <c r="I9" s="237">
        <v>2021</v>
      </c>
      <c r="J9" s="237">
        <v>2022</v>
      </c>
      <c r="K9" s="237">
        <v>2023</v>
      </c>
      <c r="L9" s="237">
        <v>2024</v>
      </c>
      <c r="M9" s="237">
        <v>2025</v>
      </c>
    </row>
    <row r="10" spans="1:13" x14ac:dyDescent="0.25">
      <c r="A10" s="103" t="s">
        <v>84</v>
      </c>
      <c r="B10" s="104">
        <f>+'FCL ESTRATEGIA 1'!K106</f>
        <v>5045286040.7965412</v>
      </c>
      <c r="C10" s="104">
        <f>+'FCL ESTRATEGIA 1'!L106</f>
        <v>5938551923.1018505</v>
      </c>
      <c r="D10" s="104">
        <f>+'FCL ESTRATEGIA 1'!M106</f>
        <v>6831817805.4071589</v>
      </c>
      <c r="E10" s="104">
        <f>+'FCL ESTRATEGIA 1'!N106</f>
        <v>7725083687.7124662</v>
      </c>
      <c r="F10" s="104">
        <f>+'FCL ESTRATEGIA 1'!O106</f>
        <v>8618349570.0177746</v>
      </c>
      <c r="G10" s="286"/>
      <c r="H10" s="202" t="s">
        <v>86</v>
      </c>
      <c r="I10" s="202">
        <f>+B12</f>
        <v>2019995718.2965412</v>
      </c>
      <c r="J10" s="202">
        <f t="shared" ref="J10:M10" si="0">+C12</f>
        <v>2218595127.0018501</v>
      </c>
      <c r="K10" s="202">
        <f t="shared" si="0"/>
        <v>2416832542.747159</v>
      </c>
      <c r="L10" s="202">
        <f t="shared" si="0"/>
        <v>2614698264.1211386</v>
      </c>
      <c r="M10" s="202">
        <f t="shared" si="0"/>
        <v>2812182329.7146387</v>
      </c>
    </row>
    <row r="11" spans="1:13" x14ac:dyDescent="0.25">
      <c r="A11" s="103" t="s">
        <v>85</v>
      </c>
      <c r="B11" s="104">
        <f>+PYG!G33+'FCL ESTRATEGIA 1'!K85</f>
        <v>3025290322.5</v>
      </c>
      <c r="C11" s="202">
        <f>+PYG!H33+'FCL ESTRATEGIA 1'!L85</f>
        <v>3719956796.1000004</v>
      </c>
      <c r="D11" s="202">
        <f>+PYG!I33+'FCL ESTRATEGIA 1'!M85</f>
        <v>4414985262.6599998</v>
      </c>
      <c r="E11" s="202">
        <f>+PYG!J33+'FCL ESTRATEGIA 1'!N85</f>
        <v>5110385423.5913277</v>
      </c>
      <c r="F11" s="202">
        <f>+PYG!K33+'FCL ESTRATEGIA 1'!O85</f>
        <v>5806167240.3031359</v>
      </c>
      <c r="G11" s="286"/>
      <c r="H11" s="202" t="s">
        <v>366</v>
      </c>
      <c r="I11" s="346">
        <f>+B12-B14+B17-B18+B19-B20</f>
        <v>503022543.79654121</v>
      </c>
      <c r="J11" s="346">
        <f t="shared" ref="J11:M11" si="1">+C12-C14+C17-C18+C19-C20</f>
        <v>789351865.10185015</v>
      </c>
      <c r="K11" s="346">
        <f t="shared" si="1"/>
        <v>1075248518.6311591</v>
      </c>
      <c r="L11" s="346">
        <f t="shared" si="1"/>
        <v>1360700908.8880696</v>
      </c>
      <c r="M11" s="346">
        <f t="shared" si="1"/>
        <v>1645697129.6168838</v>
      </c>
    </row>
    <row r="12" spans="1:13" x14ac:dyDescent="0.25">
      <c r="A12" s="105" t="s">
        <v>86</v>
      </c>
      <c r="B12" s="106">
        <f>+B10-B11</f>
        <v>2019995718.2965412</v>
      </c>
      <c r="C12" s="106">
        <f>+C10-C11</f>
        <v>2218595127.0018501</v>
      </c>
      <c r="D12" s="106">
        <f>+D10-D11</f>
        <v>2416832542.747159</v>
      </c>
      <c r="E12" s="106">
        <f>+E10-E11</f>
        <v>2614698264.1211386</v>
      </c>
      <c r="F12" s="106">
        <f>+F10-F11</f>
        <v>2812182329.7146387</v>
      </c>
      <c r="H12" s="202" t="s">
        <v>367</v>
      </c>
      <c r="I12" s="202">
        <f>+I11-B23</f>
        <v>372236682.40944052</v>
      </c>
      <c r="J12" s="202">
        <f t="shared" ref="J12:M12" si="2">+J11-C23</f>
        <v>592013898.82638764</v>
      </c>
      <c r="K12" s="202">
        <f t="shared" si="2"/>
        <v>806436388.97336936</v>
      </c>
      <c r="L12" s="202">
        <f t="shared" si="2"/>
        <v>1034132690.7549329</v>
      </c>
      <c r="M12" s="202">
        <f t="shared" si="2"/>
        <v>1250729818.5088317</v>
      </c>
    </row>
    <row r="13" spans="1:13" x14ac:dyDescent="0.25">
      <c r="A13" s="105" t="s">
        <v>87</v>
      </c>
      <c r="B13" s="107">
        <f>+B12/B10</f>
        <v>0.400372883115588</v>
      </c>
      <c r="C13" s="107">
        <f>+C12/C10</f>
        <v>0.37359193886495884</v>
      </c>
      <c r="D13" s="107">
        <f>+D12/D10</f>
        <v>0.35376126992647777</v>
      </c>
      <c r="E13" s="107">
        <f>+E12/E10</f>
        <v>0.33846860044766675</v>
      </c>
      <c r="F13" s="107">
        <f>+F12/F10</f>
        <v>0.32630172481026887</v>
      </c>
      <c r="H13" s="202"/>
      <c r="I13" s="237">
        <v>2021</v>
      </c>
      <c r="J13" s="237">
        <v>2022</v>
      </c>
      <c r="K13" s="237">
        <v>2023</v>
      </c>
      <c r="L13" s="237">
        <v>2024</v>
      </c>
      <c r="M13" s="237">
        <v>2025</v>
      </c>
    </row>
    <row r="14" spans="1:13" x14ac:dyDescent="0.25">
      <c r="A14" s="103" t="s">
        <v>88</v>
      </c>
      <c r="B14" s="104">
        <f>+PYG!G36+'FCL ESTRATEGIA 1'!K76</f>
        <v>1385991148</v>
      </c>
      <c r="C14" s="202">
        <f>+PYG!H36+'FCL ESTRATEGIA 1'!L76</f>
        <v>1334245607.2</v>
      </c>
      <c r="D14" s="202">
        <f>+PYG!I36+'FCL ESTRATEGIA 1'!M76</f>
        <v>1282570741.2160001</v>
      </c>
      <c r="E14" s="202">
        <f>+PYG!J36+'FCL ESTRATEGIA 1'!N76</f>
        <v>1230968444.1330688</v>
      </c>
      <c r="F14" s="202">
        <f>+PYG!K36+'FCL ESTRATEGIA 1'!O76</f>
        <v>1179440660.797755</v>
      </c>
      <c r="H14" s="202" t="s">
        <v>86</v>
      </c>
      <c r="I14" s="347">
        <f>+I10/B10</f>
        <v>0.400372883115588</v>
      </c>
      <c r="J14" s="347">
        <f t="shared" ref="J14:M14" si="3">+J10/C10</f>
        <v>0.37359193886495884</v>
      </c>
      <c r="K14" s="347">
        <f t="shared" si="3"/>
        <v>0.35376126992647777</v>
      </c>
      <c r="L14" s="347">
        <f t="shared" si="3"/>
        <v>0.33846860044766675</v>
      </c>
      <c r="M14" s="347">
        <f t="shared" si="3"/>
        <v>0.32630172481026887</v>
      </c>
    </row>
    <row r="15" spans="1:13" x14ac:dyDescent="0.25">
      <c r="A15" s="105" t="s">
        <v>89</v>
      </c>
      <c r="B15" s="106">
        <f>+B12-B14</f>
        <v>634004570.29654121</v>
      </c>
      <c r="C15" s="106">
        <f>+C12-C14</f>
        <v>884349519.80185008</v>
      </c>
      <c r="D15" s="106">
        <f>+D12-D14</f>
        <v>1134261801.5311589</v>
      </c>
      <c r="E15" s="106">
        <f>+E12-E14</f>
        <v>1383729819.9880698</v>
      </c>
      <c r="F15" s="106">
        <f>+F12-F14</f>
        <v>1632741668.9168837</v>
      </c>
      <c r="H15" s="202" t="s">
        <v>366</v>
      </c>
      <c r="I15" s="347">
        <f>+I11/B10</f>
        <v>9.970149159612858E-2</v>
      </c>
      <c r="J15" s="347">
        <f t="shared" ref="J15:M15" si="4">+J11/C10</f>
        <v>0.1329199231265713</v>
      </c>
      <c r="K15" s="347">
        <f t="shared" si="4"/>
        <v>0.15738834805871657</v>
      </c>
      <c r="L15" s="347">
        <f t="shared" si="4"/>
        <v>0.17614060428269576</v>
      </c>
      <c r="M15" s="347">
        <f t="shared" si="4"/>
        <v>0.1909527011229703</v>
      </c>
    </row>
    <row r="16" spans="1:13" x14ac:dyDescent="0.25">
      <c r="A16" s="105" t="s">
        <v>57</v>
      </c>
      <c r="B16" s="107">
        <f>+B15/B10</f>
        <v>0.12566276028156487</v>
      </c>
      <c r="C16" s="107">
        <f>+C15/C10</f>
        <v>0.14891669404482241</v>
      </c>
      <c r="D16" s="107">
        <f>+D15/D10</f>
        <v>0.16602635401568058</v>
      </c>
      <c r="E16" s="107">
        <f>+E15/E10</f>
        <v>0.1791216608033688</v>
      </c>
      <c r="F16" s="107">
        <f>+F15/F10</f>
        <v>0.18944945962704973</v>
      </c>
      <c r="H16" s="202" t="s">
        <v>367</v>
      </c>
      <c r="I16" s="347">
        <f>+I12/B10</f>
        <v>7.3779103781135155E-2</v>
      </c>
      <c r="J16" s="347">
        <f t="shared" ref="J16:M16" si="5">+J12/C10</f>
        <v>9.9689942344928478E-2</v>
      </c>
      <c r="K16" s="347">
        <f t="shared" si="5"/>
        <v>0.11804126104403743</v>
      </c>
      <c r="L16" s="347">
        <f t="shared" si="5"/>
        <v>0.13386685925484879</v>
      </c>
      <c r="M16" s="347">
        <f t="shared" si="5"/>
        <v>0.14512405285345745</v>
      </c>
    </row>
    <row r="17" spans="1:12" x14ac:dyDescent="0.25">
      <c r="A17" s="103" t="s">
        <v>90</v>
      </c>
      <c r="B17" s="104">
        <f>+PYG!G39</f>
        <v>22735514.5</v>
      </c>
      <c r="C17" s="104">
        <f>+PYG!H39</f>
        <v>27379505.700000003</v>
      </c>
      <c r="D17" s="104">
        <f>+PYG!I39</f>
        <v>32023496.900000002</v>
      </c>
      <c r="E17" s="104">
        <f>+PYG!J39</f>
        <v>36667488.100000001</v>
      </c>
      <c r="F17" s="104">
        <f>+PYG!K39</f>
        <v>41311479.300000004</v>
      </c>
      <c r="H17" s="284"/>
    </row>
    <row r="18" spans="1:12" x14ac:dyDescent="0.25">
      <c r="A18" s="103" t="s">
        <v>91</v>
      </c>
      <c r="B18" s="104">
        <f>+PYG!G40</f>
        <v>0</v>
      </c>
      <c r="C18" s="104">
        <f>+PYG!H40</f>
        <v>0</v>
      </c>
      <c r="D18" s="104">
        <f>+PYG!I40</f>
        <v>0</v>
      </c>
      <c r="E18" s="104">
        <f>+PYG!J40</f>
        <v>0</v>
      </c>
      <c r="F18" s="104">
        <f>+PYG!K40</f>
        <v>0</v>
      </c>
      <c r="G18" s="37"/>
      <c r="H18" s="284"/>
    </row>
    <row r="19" spans="1:12" x14ac:dyDescent="0.25">
      <c r="A19" s="103" t="s">
        <v>92</v>
      </c>
      <c r="B19" s="104">
        <f>+PYG!G41</f>
        <v>5031732</v>
      </c>
      <c r="C19" s="202">
        <f>+PYG!H41</f>
        <v>6533640.6000000015</v>
      </c>
      <c r="D19" s="202">
        <f>+PYG!I41</f>
        <v>8035549.2000000011</v>
      </c>
      <c r="E19" s="202">
        <f>+PYG!J41</f>
        <v>9537457.8000000007</v>
      </c>
      <c r="F19" s="202">
        <f>+PYG!K41</f>
        <v>11039366.4</v>
      </c>
      <c r="G19" s="37"/>
      <c r="H19" s="284"/>
    </row>
    <row r="20" spans="1:12" x14ac:dyDescent="0.25">
      <c r="A20" s="103" t="s">
        <v>93</v>
      </c>
      <c r="B20" s="104">
        <f>+PYG!G42+'FCL ESTRATEGIA 1'!K59</f>
        <v>158749273</v>
      </c>
      <c r="C20" s="104">
        <f>+PYG!H42+'FCL ESTRATEGIA 1'!L59</f>
        <v>128910801.00000001</v>
      </c>
      <c r="D20" s="202">
        <f>+PYG!I42+'FCL ESTRATEGIA 1'!M59</f>
        <v>99072329.000000015</v>
      </c>
      <c r="E20" s="202">
        <f>+PYG!J42+'FCL ESTRATEGIA 1'!N59</f>
        <v>69233857</v>
      </c>
      <c r="F20" s="202">
        <f>+PYG!K42+'FCL ESTRATEGIA 1'!O59</f>
        <v>39395385</v>
      </c>
      <c r="G20" s="37"/>
    </row>
    <row r="21" spans="1:12" x14ac:dyDescent="0.25">
      <c r="A21" s="105" t="s">
        <v>94</v>
      </c>
      <c r="B21" s="106">
        <f>+B15+B17-B18+B19-B20</f>
        <v>503022543.79654121</v>
      </c>
      <c r="C21" s="106">
        <f>+C15+C17-C18+C19-C20</f>
        <v>789351865.10185015</v>
      </c>
      <c r="D21" s="106">
        <f>+D15+D17-D18+D19-D20</f>
        <v>1075248518.6311591</v>
      </c>
      <c r="E21" s="106">
        <f>+E15+E17-E18+E19-E20</f>
        <v>1360700908.8880696</v>
      </c>
      <c r="F21" s="106">
        <f>+F15+F17-F18+F19-F20</f>
        <v>1645697129.6168838</v>
      </c>
    </row>
    <row r="22" spans="1:12" x14ac:dyDescent="0.25">
      <c r="A22" s="105" t="s">
        <v>59</v>
      </c>
      <c r="B22" s="107">
        <f>+B21/B10</f>
        <v>9.970149159612858E-2</v>
      </c>
      <c r="C22" s="107">
        <f>+C21/C10</f>
        <v>0.1329199231265713</v>
      </c>
      <c r="D22" s="107">
        <f>+D21/D10</f>
        <v>0.15738834805871657</v>
      </c>
      <c r="E22" s="107">
        <f>+E21/E10</f>
        <v>0.17614060428269576</v>
      </c>
      <c r="F22" s="107">
        <f>+F21/F10</f>
        <v>0.1909527011229703</v>
      </c>
    </row>
    <row r="23" spans="1:12" x14ac:dyDescent="0.25">
      <c r="A23" s="103" t="s">
        <v>95</v>
      </c>
      <c r="B23" s="104">
        <f>+B21*26%</f>
        <v>130785861.38710073</v>
      </c>
      <c r="C23" s="104">
        <f>+C21*25%</f>
        <v>197337966.27546254</v>
      </c>
      <c r="D23" s="104">
        <f>+D21*25%</f>
        <v>268812129.65778977</v>
      </c>
      <c r="E23" s="104">
        <f>+E21*24%</f>
        <v>326568218.13313669</v>
      </c>
      <c r="F23" s="104">
        <f>+F21*24%</f>
        <v>394967311.10805207</v>
      </c>
      <c r="H23" s="291"/>
      <c r="I23" s="291"/>
      <c r="J23" s="291"/>
      <c r="K23" s="291"/>
      <c r="L23" s="291"/>
    </row>
    <row r="24" spans="1:12" x14ac:dyDescent="0.25">
      <c r="A24" s="105" t="s">
        <v>96</v>
      </c>
      <c r="B24" s="106">
        <f>+B21-B23</f>
        <v>372236682.40944052</v>
      </c>
      <c r="C24" s="106">
        <f>+C21-C23</f>
        <v>592013898.82638764</v>
      </c>
      <c r="D24" s="106">
        <f>+D21-D23</f>
        <v>806436388.97336936</v>
      </c>
      <c r="E24" s="106">
        <f>+E21-E23</f>
        <v>1034132690.7549329</v>
      </c>
      <c r="F24" s="106">
        <f>+F21-F23</f>
        <v>1250729818.5088317</v>
      </c>
      <c r="G24" s="291"/>
    </row>
    <row r="25" spans="1:12" x14ac:dyDescent="0.25">
      <c r="A25" s="105" t="s">
        <v>97</v>
      </c>
      <c r="B25" s="107">
        <f>+B24/B10</f>
        <v>7.3779103781135155E-2</v>
      </c>
      <c r="C25" s="107">
        <f>+C24/C10</f>
        <v>9.9689942344928478E-2</v>
      </c>
      <c r="D25" s="107">
        <f>+D24/D10</f>
        <v>0.11804126104403743</v>
      </c>
      <c r="E25" s="107">
        <f>+E24/E10</f>
        <v>0.13386685925484879</v>
      </c>
      <c r="F25" s="107">
        <f>+F24/F10</f>
        <v>0.14512405285345745</v>
      </c>
    </row>
    <row r="27" spans="1:12" x14ac:dyDescent="0.25">
      <c r="A27" s="363" t="s">
        <v>98</v>
      </c>
    </row>
    <row r="28" spans="1:12" x14ac:dyDescent="0.25">
      <c r="A28" s="363" t="s">
        <v>99</v>
      </c>
      <c r="B28">
        <v>10</v>
      </c>
      <c r="H28" s="284"/>
    </row>
    <row r="29" spans="1:12" x14ac:dyDescent="0.25">
      <c r="A29" s="105" t="s">
        <v>100</v>
      </c>
      <c r="B29" s="108">
        <v>2021</v>
      </c>
      <c r="C29" s="108">
        <v>2022</v>
      </c>
      <c r="D29" s="108">
        <v>2023</v>
      </c>
      <c r="E29" s="108">
        <v>2024</v>
      </c>
      <c r="F29" s="108">
        <v>2025</v>
      </c>
      <c r="G29" s="37"/>
      <c r="H29" s="284"/>
    </row>
    <row r="30" spans="1:12" x14ac:dyDescent="0.25">
      <c r="A30" s="103" t="s">
        <v>101</v>
      </c>
      <c r="B30" s="104">
        <f>'FCL ESTRATEGIA 1'!K98+'FCL ESTRATEGIA 1'!K116+'FCL ESTRATEGIA 1'!K118</f>
        <v>694680000</v>
      </c>
      <c r="C30" s="202">
        <f>'FCL ESTRATEGIA 1'!L98+'FCL ESTRATEGIA 1'!L116+'FCL ESTRATEGIA 1'!L118</f>
        <v>697908864</v>
      </c>
      <c r="D30" s="202">
        <f>'FCL ESTRATEGIA 1'!M98+'FCL ESTRATEGIA 1'!M116+'FCL ESTRATEGIA 1'!M118</f>
        <v>701224261.55519998</v>
      </c>
      <c r="E30" s="202">
        <f>'FCL ESTRATEGIA 1'!N98+'FCL ESTRATEGIA 1'!N116+'FCL ESTRATEGIA 1'!N118</f>
        <v>704628511.76487935</v>
      </c>
      <c r="F30" s="202">
        <f>'FCL ESTRATEGIA 1'!O98+'FCL ESTRATEGIA 1'!O116+'FCL ESTRATEGIA 1'!O118</f>
        <v>708123995.88017809</v>
      </c>
      <c r="G30" s="37"/>
    </row>
    <row r="31" spans="1:12" x14ac:dyDescent="0.25">
      <c r="A31" s="109"/>
      <c r="B31" s="109"/>
      <c r="C31" s="109"/>
      <c r="D31" s="109"/>
      <c r="E31" s="109"/>
      <c r="F31" s="109"/>
    </row>
    <row r="32" spans="1:12" x14ac:dyDescent="0.25">
      <c r="A32" s="103" t="s">
        <v>102</v>
      </c>
      <c r="B32" s="104"/>
      <c r="C32" s="104"/>
      <c r="D32" s="104"/>
      <c r="E32" s="104"/>
      <c r="F32" s="104"/>
    </row>
    <row r="33" spans="1:8" x14ac:dyDescent="0.25">
      <c r="A33" s="103" t="s">
        <v>103</v>
      </c>
      <c r="B33" s="104">
        <f>+$B$30/$B$28</f>
        <v>69468000</v>
      </c>
      <c r="C33" s="104">
        <f>+$B$30/$B$28</f>
        <v>69468000</v>
      </c>
      <c r="D33" s="104">
        <f>+$B$30/$B$28</f>
        <v>69468000</v>
      </c>
      <c r="E33" s="104">
        <f>+$B$30/$B$28</f>
        <v>69468000</v>
      </c>
      <c r="F33" s="104">
        <f>+$B$30/$B$28</f>
        <v>69468000</v>
      </c>
      <c r="H33" s="344"/>
    </row>
    <row r="34" spans="1:8" x14ac:dyDescent="0.25">
      <c r="A34" s="103" t="s">
        <v>104</v>
      </c>
      <c r="B34" s="110"/>
      <c r="C34" s="104">
        <f>+$C$30/$B$28</f>
        <v>69790886.400000006</v>
      </c>
      <c r="D34" s="104">
        <f>+$C$30/$B$28</f>
        <v>69790886.400000006</v>
      </c>
      <c r="E34" s="104">
        <f>+$C$30/$B$28</f>
        <v>69790886.400000006</v>
      </c>
      <c r="F34" s="104">
        <f>+$C$30/$B$28</f>
        <v>69790886.400000006</v>
      </c>
      <c r="G34" s="196"/>
    </row>
    <row r="35" spans="1:8" x14ac:dyDescent="0.25">
      <c r="A35" s="103" t="s">
        <v>105</v>
      </c>
      <c r="B35" s="110"/>
      <c r="C35" s="110"/>
      <c r="D35" s="104">
        <f>+$D$30/$B$28</f>
        <v>70122426.155519992</v>
      </c>
      <c r="E35" s="104">
        <f>+$D$30/$B$28</f>
        <v>70122426.155519992</v>
      </c>
      <c r="F35" s="104">
        <f>+$D$30/$B$28</f>
        <v>70122426.155519992</v>
      </c>
    </row>
    <row r="36" spans="1:8" x14ac:dyDescent="0.25">
      <c r="A36" s="103" t="s">
        <v>106</v>
      </c>
      <c r="B36" s="110"/>
      <c r="C36" s="110"/>
      <c r="D36" s="110"/>
      <c r="E36" s="104">
        <f>+$E$30/$B$28</f>
        <v>70462851.176487938</v>
      </c>
      <c r="F36" s="104">
        <f>+$E$30/$B$28</f>
        <v>70462851.176487938</v>
      </c>
    </row>
    <row r="37" spans="1:8" x14ac:dyDescent="0.25">
      <c r="A37" s="103" t="s">
        <v>107</v>
      </c>
      <c r="B37" s="110"/>
      <c r="C37" s="110"/>
      <c r="D37" s="110"/>
      <c r="E37" s="110"/>
      <c r="F37" s="104">
        <f>+$F$30/$B$28</f>
        <v>70812399.588017806</v>
      </c>
    </row>
    <row r="38" spans="1:8" x14ac:dyDescent="0.25">
      <c r="A38" s="111" t="s">
        <v>153</v>
      </c>
      <c r="B38" s="112">
        <f>SUM(B32:B37)</f>
        <v>69468000</v>
      </c>
      <c r="C38" s="112">
        <f>SUM(C32:C37)</f>
        <v>139258886.40000001</v>
      </c>
      <c r="D38" s="112">
        <f>SUM(D32:D37)</f>
        <v>209381312.55552</v>
      </c>
      <c r="E38" s="112">
        <f>SUM(E32:E37)</f>
        <v>279844163.73200792</v>
      </c>
      <c r="F38" s="112">
        <f>SUM(F32:F37)</f>
        <v>350656563.32002574</v>
      </c>
    </row>
    <row r="41" spans="1:8" x14ac:dyDescent="0.25">
      <c r="A41" s="363" t="s">
        <v>109</v>
      </c>
    </row>
    <row r="42" spans="1:8" x14ac:dyDescent="0.25">
      <c r="A42" s="363"/>
    </row>
    <row r="43" spans="1:8" x14ac:dyDescent="0.25">
      <c r="A43" s="113" t="s">
        <v>110</v>
      </c>
      <c r="B43" s="114">
        <v>365</v>
      </c>
      <c r="C43" s="364"/>
    </row>
    <row r="44" spans="1:8" x14ac:dyDescent="0.25">
      <c r="A44" s="113" t="s">
        <v>111</v>
      </c>
      <c r="B44" s="126">
        <v>17</v>
      </c>
      <c r="C44" s="364"/>
    </row>
    <row r="45" spans="1:8" x14ac:dyDescent="0.25">
      <c r="A45" s="113" t="s">
        <v>112</v>
      </c>
      <c r="B45" s="126">
        <f>+Ciclos!F11</f>
        <v>7.0980633731927245</v>
      </c>
      <c r="C45" s="364"/>
    </row>
    <row r="46" spans="1:8" x14ac:dyDescent="0.25">
      <c r="A46" s="113" t="s">
        <v>113</v>
      </c>
      <c r="B46" s="114">
        <v>0</v>
      </c>
      <c r="C46" s="364"/>
    </row>
    <row r="47" spans="1:8" x14ac:dyDescent="0.25">
      <c r="A47" s="113" t="s">
        <v>155</v>
      </c>
      <c r="B47" s="126">
        <f>+Ciclos!F14</f>
        <v>24.412395960836879</v>
      </c>
      <c r="C47" s="364"/>
    </row>
    <row r="50" spans="1:6" x14ac:dyDescent="0.25">
      <c r="A50" s="114"/>
      <c r="B50" s="108">
        <v>2021</v>
      </c>
      <c r="C50" s="108">
        <v>2022</v>
      </c>
      <c r="D50" s="108">
        <v>2023</v>
      </c>
      <c r="E50" s="108">
        <v>2024</v>
      </c>
      <c r="F50" s="108">
        <v>2025</v>
      </c>
    </row>
    <row r="51" spans="1:6" x14ac:dyDescent="0.25">
      <c r="A51" s="103" t="s">
        <v>114</v>
      </c>
      <c r="B51" s="104">
        <f>+(B14/$B$43)*$B$44</f>
        <v>64553012.372602738</v>
      </c>
      <c r="C51" s="104">
        <f>+(C14/$B$43)*$B$44</f>
        <v>62142946.088767126</v>
      </c>
      <c r="D51" s="104">
        <f>+(D14/$B$43)*$B$44</f>
        <v>59736171.508690417</v>
      </c>
      <c r="E51" s="104">
        <f>+(E14/$B$43)*$B$44</f>
        <v>57332776.850033343</v>
      </c>
      <c r="F51" s="104">
        <f>+(F14/$B$43)*$B$44</f>
        <v>54932852.694689959</v>
      </c>
    </row>
    <row r="52" spans="1:6" x14ac:dyDescent="0.25">
      <c r="A52" s="103" t="s">
        <v>115</v>
      </c>
      <c r="B52" s="104">
        <f>+(B10/$B$43)*$B$45</f>
        <v>98114411.105365649</v>
      </c>
      <c r="C52" s="104">
        <f>+(C10/$B$43)*$B$45</f>
        <v>115485528.47992454</v>
      </c>
      <c r="D52" s="104">
        <f>+(D10/$B$43)*$B$45</f>
        <v>132856645.85448344</v>
      </c>
      <c r="E52" s="104">
        <f>+(E10/$B$43)*$B$45</f>
        <v>150227763.22904232</v>
      </c>
      <c r="F52" s="104">
        <f>+(F10/$B$43)*$B$45</f>
        <v>167598880.60360119</v>
      </c>
    </row>
    <row r="53" spans="1:6" x14ac:dyDescent="0.25">
      <c r="A53" s="103" t="s">
        <v>116</v>
      </c>
      <c r="B53" s="104">
        <f>+(B11/$B$43)*$B$46</f>
        <v>0</v>
      </c>
      <c r="C53" s="104">
        <f>+(C11/$B$43)*$B$46</f>
        <v>0</v>
      </c>
      <c r="D53" s="104">
        <f>+(D11/$B$43)*$B$46</f>
        <v>0</v>
      </c>
      <c r="E53" s="104">
        <f>+(E11/$B$43)*$B$46</f>
        <v>0</v>
      </c>
      <c r="F53" s="104">
        <f>+(F11/$B$43)*$B$46</f>
        <v>0</v>
      </c>
    </row>
    <row r="54" spans="1:6" x14ac:dyDescent="0.25">
      <c r="A54" s="103" t="s">
        <v>117</v>
      </c>
      <c r="B54" s="104">
        <f>+(B11/$B$43)*$B$47</f>
        <v>202341329.4502956</v>
      </c>
      <c r="C54" s="104">
        <f>+(C11/$B$43)*$B$47</f>
        <v>248802899.35232699</v>
      </c>
      <c r="D54" s="104">
        <f>+(D11/$B$43)*$B$47</f>
        <v>295288680.52963102</v>
      </c>
      <c r="E54" s="104">
        <f>+(E11/$B$43)*$B$47</f>
        <v>341799321.84438515</v>
      </c>
      <c r="F54" s="104">
        <f>+(F11/$B$43)*$B$47</f>
        <v>388335489.54827309</v>
      </c>
    </row>
    <row r="55" spans="1:6" x14ac:dyDescent="0.25">
      <c r="A55" s="113" t="s">
        <v>118</v>
      </c>
      <c r="B55" s="115">
        <f>+B51+B52+B53-B54</f>
        <v>-39673905.972327203</v>
      </c>
      <c r="C55" s="115">
        <f>+C51+C52+C53-C54</f>
        <v>-71174424.783635318</v>
      </c>
      <c r="D55" s="115">
        <f>+D51+D52+D53-D54</f>
        <v>-102695863.16645718</v>
      </c>
      <c r="E55" s="115">
        <f>+E51+E52+E53-E54</f>
        <v>-134238781.76530948</v>
      </c>
      <c r="F55" s="115">
        <f>+F51+F52+F53-F54</f>
        <v>-165803756.24998194</v>
      </c>
    </row>
    <row r="56" spans="1:6" x14ac:dyDescent="0.25">
      <c r="A56" s="113" t="s">
        <v>119</v>
      </c>
      <c r="B56" s="115">
        <v>7</v>
      </c>
      <c r="C56" s="115">
        <f>+C55-B55</f>
        <v>-31500518.811308116</v>
      </c>
      <c r="D56" s="115">
        <f>+D55-C55</f>
        <v>-31521438.382821858</v>
      </c>
      <c r="E56" s="115">
        <f>+E55-D55</f>
        <v>-31542918.598852307</v>
      </c>
      <c r="F56" s="115">
        <f>+F55-E55</f>
        <v>-31564974.484672457</v>
      </c>
    </row>
    <row r="57" spans="1:6" x14ac:dyDescent="0.25">
      <c r="A57" s="8"/>
    </row>
    <row r="61" spans="1:6" x14ac:dyDescent="0.25">
      <c r="A61" s="363" t="s">
        <v>120</v>
      </c>
    </row>
    <row r="62" spans="1:6" x14ac:dyDescent="0.25">
      <c r="A62" s="363"/>
    </row>
    <row r="63" spans="1:6" x14ac:dyDescent="0.25">
      <c r="A63" s="113" t="s">
        <v>121</v>
      </c>
      <c r="B63" s="116">
        <f>+Ciclos!H15</f>
        <v>0.1356</v>
      </c>
    </row>
    <row r="64" spans="1:6" x14ac:dyDescent="0.25">
      <c r="A64" s="113" t="s">
        <v>122</v>
      </c>
      <c r="B64" s="116">
        <v>0.02</v>
      </c>
    </row>
    <row r="65" spans="1:9" x14ac:dyDescent="0.25">
      <c r="A65" s="113" t="s">
        <v>123</v>
      </c>
      <c r="B65" s="116">
        <v>0.03</v>
      </c>
    </row>
    <row r="66" spans="1:9" x14ac:dyDescent="0.25">
      <c r="A66" s="8"/>
    </row>
    <row r="67" spans="1:9" x14ac:dyDescent="0.25">
      <c r="A67" s="108" t="s">
        <v>154</v>
      </c>
      <c r="B67" s="108">
        <v>2021</v>
      </c>
      <c r="C67" s="108">
        <v>2022</v>
      </c>
      <c r="D67" s="108">
        <v>2023</v>
      </c>
      <c r="E67" s="108">
        <v>2024</v>
      </c>
      <c r="F67" s="108">
        <v>2025</v>
      </c>
    </row>
    <row r="68" spans="1:9" x14ac:dyDescent="0.25">
      <c r="A68" s="8" t="s">
        <v>125</v>
      </c>
      <c r="B68" s="104">
        <f>+B21</f>
        <v>503022543.79654121</v>
      </c>
      <c r="C68" s="104">
        <f>+C21</f>
        <v>789351865.10185015</v>
      </c>
      <c r="D68" s="104">
        <f>+D21</f>
        <v>1075248518.6311591</v>
      </c>
      <c r="E68" s="104">
        <f>+E21</f>
        <v>1360700908.8880696</v>
      </c>
      <c r="F68" s="104">
        <f>+F21</f>
        <v>1645697129.6168838</v>
      </c>
    </row>
    <row r="69" spans="1:9" x14ac:dyDescent="0.25">
      <c r="A69" s="8" t="s">
        <v>126</v>
      </c>
      <c r="B69" s="104">
        <f>+B23</f>
        <v>130785861.38710073</v>
      </c>
      <c r="C69" s="104">
        <f>+C23</f>
        <v>197337966.27546254</v>
      </c>
      <c r="D69" s="104">
        <f>+D23</f>
        <v>268812129.65778977</v>
      </c>
      <c r="E69" s="104">
        <f>+E23</f>
        <v>326568218.13313669</v>
      </c>
      <c r="F69" s="104">
        <f>+F23</f>
        <v>394967311.10805207</v>
      </c>
    </row>
    <row r="70" spans="1:9" x14ac:dyDescent="0.25">
      <c r="A70" s="8" t="s">
        <v>127</v>
      </c>
      <c r="B70" s="104">
        <f>+B68-B69</f>
        <v>372236682.40944052</v>
      </c>
      <c r="C70" s="104">
        <f>+C68-C69</f>
        <v>592013898.82638764</v>
      </c>
      <c r="D70" s="104">
        <f>+D68-D69</f>
        <v>806436388.97336936</v>
      </c>
      <c r="E70" s="104">
        <f>+E68-E69</f>
        <v>1034132690.7549329</v>
      </c>
      <c r="F70" s="104">
        <f>+F68-F69</f>
        <v>1250729818.5088317</v>
      </c>
    </row>
    <row r="71" spans="1:9" x14ac:dyDescent="0.25">
      <c r="A71" s="8" t="s">
        <v>128</v>
      </c>
      <c r="B71" s="104">
        <f>+B38</f>
        <v>69468000</v>
      </c>
      <c r="C71" s="104">
        <f>+C38</f>
        <v>139258886.40000001</v>
      </c>
      <c r="D71" s="104">
        <f>+D38</f>
        <v>209381312.55552</v>
      </c>
      <c r="E71" s="104">
        <f>+E38</f>
        <v>279844163.73200792</v>
      </c>
      <c r="F71" s="104">
        <f>+F38</f>
        <v>350656563.32002574</v>
      </c>
    </row>
    <row r="72" spans="1:9" x14ac:dyDescent="0.25">
      <c r="A72" s="8" t="s">
        <v>129</v>
      </c>
      <c r="B72" s="104">
        <f>+B30</f>
        <v>694680000</v>
      </c>
      <c r="C72" s="104">
        <f>+C30</f>
        <v>697908864</v>
      </c>
      <c r="D72" s="104">
        <f>+D30</f>
        <v>701224261.55519998</v>
      </c>
      <c r="E72" s="104">
        <f>+E30</f>
        <v>704628511.76487935</v>
      </c>
      <c r="F72" s="104">
        <f>+F30</f>
        <v>708123995.88017809</v>
      </c>
    </row>
    <row r="73" spans="1:9" x14ac:dyDescent="0.25">
      <c r="A73" s="8" t="s">
        <v>130</v>
      </c>
      <c r="B73" s="104">
        <v>0</v>
      </c>
      <c r="C73" s="104">
        <f>+C56</f>
        <v>-31500518.811308116</v>
      </c>
      <c r="D73" s="104">
        <f>+D56</f>
        <v>-31521438.382821858</v>
      </c>
      <c r="E73" s="104">
        <f>+E56</f>
        <v>-31542918.598852307</v>
      </c>
      <c r="F73" s="104">
        <f>+F56</f>
        <v>-31564974.484672457</v>
      </c>
      <c r="H73" s="343"/>
      <c r="I73" s="118" t="s">
        <v>132</v>
      </c>
    </row>
    <row r="74" spans="1:9" x14ac:dyDescent="0.25">
      <c r="A74" s="117" t="s">
        <v>131</v>
      </c>
      <c r="B74" s="115">
        <f>+B70+B71-B72-B73</f>
        <v>-252975317.59055948</v>
      </c>
      <c r="C74" s="115">
        <f>+C70+C71-C72-C73</f>
        <v>64864440.037695736</v>
      </c>
      <c r="D74" s="115">
        <f>+D70+D71-D72-D73</f>
        <v>346114878.35651129</v>
      </c>
      <c r="E74" s="115">
        <f>+E70+E71-E72-E73</f>
        <v>640891261.32091379</v>
      </c>
      <c r="F74" s="115">
        <f>+F70+F71-F72-F73</f>
        <v>924827360.43335176</v>
      </c>
      <c r="G74" s="104">
        <f>+F74*(1+B64)*(1+B65)/(B63-((1+B64)*(1+B65)-1))</f>
        <v>11430866174.956224</v>
      </c>
      <c r="H74" s="345"/>
    </row>
    <row r="75" spans="1:9" x14ac:dyDescent="0.25">
      <c r="A75" s="8" t="s">
        <v>133</v>
      </c>
      <c r="B75" s="119">
        <f>+(1+$B$63)</f>
        <v>1.1355999999999999</v>
      </c>
      <c r="C75" s="119">
        <f>+(1+B63)*B75</f>
        <v>1.2895873599999998</v>
      </c>
      <c r="D75" s="119">
        <f>+(1+$B$63)*C75</f>
        <v>1.4644554060159998</v>
      </c>
      <c r="E75" s="119">
        <f>+(1+$B$63)*D75</f>
        <v>1.6630355590717694</v>
      </c>
      <c r="F75" s="119">
        <f>+(1+$B$63)*E75</f>
        <v>1.8885431808819011</v>
      </c>
      <c r="G75" s="119">
        <f>+F75</f>
        <v>1.8885431808819011</v>
      </c>
      <c r="H75" s="343"/>
    </row>
    <row r="76" spans="1:9" x14ac:dyDescent="0.25">
      <c r="A76" s="117" t="s">
        <v>134</v>
      </c>
      <c r="B76" s="115">
        <f t="shared" ref="B76:G76" si="6">+B74/B75</f>
        <v>-222767979.56195799</v>
      </c>
      <c r="C76" s="115">
        <f t="shared" si="6"/>
        <v>50298600.970852986</v>
      </c>
      <c r="D76" s="115">
        <f t="shared" si="6"/>
        <v>236343747.26240715</v>
      </c>
      <c r="E76" s="115">
        <f t="shared" si="6"/>
        <v>385374358.24801612</v>
      </c>
      <c r="F76" s="115">
        <f t="shared" si="6"/>
        <v>489704111.50539917</v>
      </c>
      <c r="G76" s="104">
        <f t="shared" si="6"/>
        <v>6052742818.2067318</v>
      </c>
    </row>
    <row r="78" spans="1:9" ht="24" thickBot="1" x14ac:dyDescent="0.4">
      <c r="A78" s="120" t="s">
        <v>135</v>
      </c>
      <c r="B78" s="121">
        <f>+SUM(B76:G76)</f>
        <v>6991695656.6314487</v>
      </c>
    </row>
    <row r="79" spans="1:9" ht="15.75" thickTop="1" x14ac:dyDescent="0.25"/>
  </sheetData>
  <mergeCells count="6">
    <mergeCell ref="A61:A62"/>
    <mergeCell ref="H8:M8"/>
    <mergeCell ref="A8:A9"/>
    <mergeCell ref="A27:A28"/>
    <mergeCell ref="A41:A42"/>
    <mergeCell ref="C43:C47"/>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06"/>
  <sheetViews>
    <sheetView showGridLines="0" zoomScale="85" zoomScaleNormal="85" workbookViewId="0">
      <selection activeCell="F9" sqref="F9"/>
    </sheetView>
  </sheetViews>
  <sheetFormatPr baseColWidth="10" defaultRowHeight="15.75" x14ac:dyDescent="0.25"/>
  <cols>
    <col min="1" max="1" width="63.85546875" style="205" bestFit="1" customWidth="1"/>
    <col min="2" max="2" width="18.42578125" style="205" bestFit="1" customWidth="1"/>
    <col min="3" max="3" width="2.140625" style="205" customWidth="1"/>
    <col min="4" max="4" width="17" style="205" bestFit="1" customWidth="1"/>
    <col min="5" max="5" width="31.42578125" style="205" customWidth="1"/>
    <col min="6" max="6" width="14.42578125" style="205" bestFit="1" customWidth="1"/>
    <col min="7" max="7" width="11.42578125" style="205"/>
    <col min="8" max="8" width="2.85546875" style="205" customWidth="1"/>
    <col min="9" max="9" width="31.28515625" style="205" bestFit="1" customWidth="1"/>
    <col min="10" max="10" width="20.28515625" style="205" bestFit="1" customWidth="1"/>
    <col min="11" max="11" width="30.7109375" style="205" customWidth="1"/>
    <col min="12" max="13" width="21" style="205" bestFit="1" customWidth="1"/>
    <col min="14" max="15" width="22.85546875" style="205" bestFit="1" customWidth="1"/>
    <col min="16" max="16" width="20.42578125" style="205" bestFit="1" customWidth="1"/>
    <col min="17" max="20" width="18.28515625" style="199" bestFit="1" customWidth="1"/>
    <col min="21" max="16384" width="11.42578125" style="199"/>
  </cols>
  <sheetData>
    <row r="1" spans="1:16" x14ac:dyDescent="0.25">
      <c r="A1" s="336" t="s">
        <v>283</v>
      </c>
      <c r="B1" s="340" t="s">
        <v>308</v>
      </c>
      <c r="C1" s="198"/>
      <c r="D1" s="198"/>
      <c r="F1" s="277"/>
      <c r="G1" s="277"/>
      <c r="H1" s="277"/>
      <c r="I1" s="277"/>
      <c r="J1" s="277"/>
      <c r="K1" s="277"/>
      <c r="L1" s="277"/>
      <c r="M1" s="277"/>
      <c r="N1" s="277"/>
      <c r="O1" s="277"/>
      <c r="P1" s="277"/>
    </row>
    <row r="2" spans="1:16" x14ac:dyDescent="0.25">
      <c r="A2" s="336" t="s">
        <v>285</v>
      </c>
      <c r="B2" s="341">
        <f>+J135</f>
        <v>2858661732.6659861</v>
      </c>
      <c r="C2" s="198"/>
      <c r="D2" s="198"/>
      <c r="F2" s="277"/>
      <c r="G2" s="277"/>
      <c r="H2" s="277"/>
      <c r="I2" s="277"/>
      <c r="J2" s="277"/>
      <c r="K2" s="277"/>
      <c r="L2" s="277"/>
      <c r="M2" s="277"/>
      <c r="N2" s="277"/>
      <c r="O2" s="277"/>
      <c r="P2" s="277"/>
    </row>
    <row r="3" spans="1:16" x14ac:dyDescent="0.25">
      <c r="A3" s="337" t="s">
        <v>309</v>
      </c>
      <c r="B3" s="337"/>
      <c r="C3" s="283"/>
      <c r="D3" s="283"/>
      <c r="E3" s="283"/>
      <c r="F3" s="283"/>
      <c r="G3" s="283"/>
      <c r="H3" s="283"/>
      <c r="I3" s="283"/>
      <c r="J3" s="283"/>
      <c r="K3" s="283"/>
      <c r="L3" s="283"/>
    </row>
    <row r="4" spans="1:16" ht="15" customHeight="1" x14ac:dyDescent="0.25">
      <c r="A4" s="337" t="s">
        <v>310</v>
      </c>
      <c r="B4" s="337"/>
      <c r="C4" s="283"/>
      <c r="D4" s="283"/>
      <c r="E4" s="283"/>
      <c r="F4" s="283"/>
      <c r="G4" s="283"/>
      <c r="H4" s="283"/>
      <c r="I4" s="283"/>
      <c r="J4" s="283"/>
      <c r="K4" s="283"/>
      <c r="L4" s="283"/>
    </row>
    <row r="5" spans="1:16" ht="15" customHeight="1" x14ac:dyDescent="0.25">
      <c r="A5" s="337" t="s">
        <v>311</v>
      </c>
      <c r="B5" s="337"/>
      <c r="C5" s="283"/>
      <c r="D5" s="283"/>
      <c r="E5" s="283"/>
      <c r="F5" s="283"/>
      <c r="G5" s="283"/>
      <c r="H5" s="283"/>
      <c r="I5" s="283"/>
      <c r="J5" s="283"/>
      <c r="K5" s="283"/>
      <c r="L5" s="283"/>
    </row>
    <row r="6" spans="1:16" ht="15" customHeight="1" x14ac:dyDescent="0.25">
      <c r="A6" s="337" t="s">
        <v>312</v>
      </c>
      <c r="B6" s="337"/>
      <c r="C6" s="283"/>
      <c r="D6" s="283"/>
      <c r="E6" s="283"/>
      <c r="F6" s="283"/>
      <c r="G6" s="283"/>
      <c r="H6" s="283"/>
      <c r="I6" s="283"/>
      <c r="J6" s="283"/>
      <c r="K6" s="283"/>
      <c r="L6" s="283"/>
    </row>
    <row r="7" spans="1:16" ht="15" customHeight="1" x14ac:dyDescent="0.25">
      <c r="A7" s="337" t="s">
        <v>313</v>
      </c>
      <c r="B7" s="337"/>
      <c r="C7" s="283"/>
      <c r="D7" s="283"/>
      <c r="E7" s="283"/>
      <c r="F7" s="283"/>
      <c r="G7" s="283"/>
      <c r="H7" s="283"/>
      <c r="I7" s="283"/>
      <c r="J7" s="283"/>
      <c r="K7" s="283"/>
      <c r="L7" s="283"/>
    </row>
    <row r="8" spans="1:16" ht="15" customHeight="1" x14ac:dyDescent="0.25">
      <c r="A8" s="337" t="s">
        <v>314</v>
      </c>
      <c r="B8" s="338"/>
      <c r="C8" s="283"/>
      <c r="D8" s="283"/>
      <c r="E8" s="283"/>
      <c r="F8" s="283"/>
      <c r="G8" s="283"/>
      <c r="H8" s="283"/>
      <c r="I8" s="283"/>
      <c r="J8" s="283"/>
      <c r="K8" s="283"/>
      <c r="L8" s="283"/>
    </row>
    <row r="9" spans="1:16" x14ac:dyDescent="0.25">
      <c r="A9" s="337" t="s">
        <v>354</v>
      </c>
      <c r="B9" s="335"/>
      <c r="C9" s="276"/>
      <c r="D9" s="276"/>
      <c r="E9" s="276"/>
      <c r="F9" s="276"/>
      <c r="G9" s="276"/>
      <c r="H9" s="276"/>
      <c r="I9" s="276"/>
      <c r="J9" s="276"/>
      <c r="K9" s="276"/>
      <c r="L9" s="276"/>
    </row>
    <row r="10" spans="1:16" ht="28.5" x14ac:dyDescent="0.25">
      <c r="A10" s="338" t="s">
        <v>355</v>
      </c>
      <c r="B10" s="339"/>
      <c r="C10" s="197"/>
      <c r="D10" s="197"/>
      <c r="E10" s="197"/>
    </row>
    <row r="11" spans="1:16" x14ac:dyDescent="0.25">
      <c r="A11" s="338" t="s">
        <v>356</v>
      </c>
      <c r="B11" s="337"/>
      <c r="C11" s="199"/>
      <c r="D11" s="199"/>
    </row>
    <row r="12" spans="1:16" x14ac:dyDescent="0.25">
      <c r="A12" s="200"/>
      <c r="B12" s="199"/>
      <c r="C12" s="199"/>
      <c r="D12" s="199"/>
    </row>
    <row r="13" spans="1:16" x14ac:dyDescent="0.25">
      <c r="A13" s="259" t="s">
        <v>157</v>
      </c>
      <c r="B13" s="250" t="s">
        <v>158</v>
      </c>
      <c r="C13" s="250"/>
      <c r="D13" s="250" t="s">
        <v>159</v>
      </c>
      <c r="E13" s="251" t="s">
        <v>160</v>
      </c>
    </row>
    <row r="14" spans="1:16" x14ac:dyDescent="0.25">
      <c r="A14" s="260" t="s">
        <v>294</v>
      </c>
      <c r="B14" s="267">
        <f>SUM(B15:B16)</f>
        <v>11925845</v>
      </c>
      <c r="C14" s="268"/>
      <c r="D14" s="269">
        <f>+B14*12</f>
        <v>143110140</v>
      </c>
      <c r="E14" s="270">
        <f>+B14*60</f>
        <v>715550700</v>
      </c>
    </row>
    <row r="15" spans="1:16" x14ac:dyDescent="0.25">
      <c r="A15" s="261" t="s">
        <v>295</v>
      </c>
      <c r="B15" s="275">
        <v>4340645</v>
      </c>
      <c r="C15" s="253"/>
      <c r="D15" s="252"/>
      <c r="E15" s="254"/>
    </row>
    <row r="16" spans="1:16" x14ac:dyDescent="0.25">
      <c r="A16" s="261" t="s">
        <v>352</v>
      </c>
      <c r="B16" s="275">
        <f>2528400*3</f>
        <v>7585200</v>
      </c>
      <c r="C16" s="253"/>
      <c r="D16" s="252"/>
      <c r="E16" s="254"/>
    </row>
    <row r="17" spans="1:7" x14ac:dyDescent="0.25">
      <c r="A17" s="261" t="s">
        <v>353</v>
      </c>
      <c r="B17" s="252"/>
      <c r="C17" s="253"/>
      <c r="D17" s="252"/>
      <c r="E17" s="254"/>
    </row>
    <row r="18" spans="1:7" x14ac:dyDescent="0.25">
      <c r="A18" s="262"/>
      <c r="B18" s="252"/>
      <c r="C18" s="253"/>
      <c r="D18" s="252"/>
      <c r="E18" s="254"/>
    </row>
    <row r="19" spans="1:7" x14ac:dyDescent="0.25">
      <c r="A19" s="260" t="s">
        <v>296</v>
      </c>
      <c r="B19" s="267">
        <v>29000000</v>
      </c>
      <c r="C19" s="268"/>
      <c r="D19" s="269">
        <f>+B19*12</f>
        <v>348000000</v>
      </c>
      <c r="E19" s="270">
        <f>+B19*60</f>
        <v>1740000000</v>
      </c>
    </row>
    <row r="20" spans="1:7" x14ac:dyDescent="0.25">
      <c r="A20" s="261" t="s">
        <v>275</v>
      </c>
      <c r="B20" s="252"/>
      <c r="C20" s="253"/>
      <c r="D20" s="252"/>
      <c r="E20" s="254"/>
    </row>
    <row r="21" spans="1:7" x14ac:dyDescent="0.25">
      <c r="A21" s="261" t="s">
        <v>276</v>
      </c>
      <c r="B21" s="252"/>
      <c r="C21" s="253"/>
      <c r="D21" s="252"/>
      <c r="E21" s="254"/>
    </row>
    <row r="22" spans="1:7" x14ac:dyDescent="0.25">
      <c r="A22" s="261" t="s">
        <v>277</v>
      </c>
      <c r="B22" s="252"/>
      <c r="C22" s="253"/>
      <c r="D22" s="252"/>
      <c r="E22" s="254"/>
    </row>
    <row r="23" spans="1:7" x14ac:dyDescent="0.25">
      <c r="A23" s="262"/>
      <c r="B23" s="252"/>
      <c r="C23" s="253"/>
      <c r="D23" s="252"/>
      <c r="E23" s="254"/>
    </row>
    <row r="24" spans="1:7" x14ac:dyDescent="0.25">
      <c r="A24" s="260" t="s">
        <v>297</v>
      </c>
      <c r="B24" s="267">
        <f>SUM(B25:B28)</f>
        <v>460000000</v>
      </c>
      <c r="C24" s="268"/>
      <c r="D24" s="271"/>
      <c r="E24" s="270">
        <f>+B24</f>
        <v>460000000</v>
      </c>
      <c r="G24" s="153"/>
    </row>
    <row r="25" spans="1:7" x14ac:dyDescent="0.25">
      <c r="A25" s="261" t="s">
        <v>298</v>
      </c>
      <c r="B25" s="275">
        <v>80000000</v>
      </c>
      <c r="C25" s="253"/>
      <c r="D25" s="255"/>
      <c r="E25" s="256"/>
    </row>
    <row r="26" spans="1:7" x14ac:dyDescent="0.25">
      <c r="A26" s="261" t="s">
        <v>299</v>
      </c>
      <c r="B26" s="275">
        <v>290000000</v>
      </c>
      <c r="C26" s="253"/>
      <c r="D26" s="255"/>
      <c r="E26" s="256"/>
    </row>
    <row r="27" spans="1:7" x14ac:dyDescent="0.25">
      <c r="A27" s="261" t="s">
        <v>300</v>
      </c>
      <c r="B27" s="275">
        <v>45000000</v>
      </c>
      <c r="C27" s="253"/>
      <c r="D27" s="255"/>
      <c r="E27" s="256"/>
    </row>
    <row r="28" spans="1:7" x14ac:dyDescent="0.25">
      <c r="A28" s="261" t="s">
        <v>301</v>
      </c>
      <c r="B28" s="275">
        <v>45000000</v>
      </c>
      <c r="C28" s="253"/>
      <c r="D28" s="255"/>
      <c r="E28" s="256"/>
    </row>
    <row r="29" spans="1:7" ht="16.5" thickBot="1" x14ac:dyDescent="0.3">
      <c r="A29" s="263"/>
      <c r="B29" s="207"/>
      <c r="C29" s="206"/>
      <c r="D29" s="207"/>
      <c r="E29" s="257"/>
    </row>
    <row r="30" spans="1:7" x14ac:dyDescent="0.25">
      <c r="A30" s="264" t="s">
        <v>168</v>
      </c>
      <c r="B30" s="236"/>
      <c r="C30" s="258"/>
      <c r="D30" s="236"/>
      <c r="E30" s="272">
        <f>SUM(E14:E28)</f>
        <v>2915550700</v>
      </c>
    </row>
    <row r="34" spans="1:20" ht="16.5" thickBot="1" x14ac:dyDescent="0.3"/>
    <row r="35" spans="1:20" ht="16.5" thickBot="1" x14ac:dyDescent="0.3">
      <c r="A35" s="371" t="s">
        <v>169</v>
      </c>
      <c r="B35" s="372"/>
      <c r="C35" s="372"/>
      <c r="D35" s="372"/>
      <c r="E35" s="372"/>
      <c r="F35" s="372"/>
      <c r="G35" s="373"/>
      <c r="I35" s="208"/>
    </row>
    <row r="37" spans="1:20" ht="16.5" thickBot="1" x14ac:dyDescent="0.3">
      <c r="A37" s="374" t="s">
        <v>170</v>
      </c>
      <c r="B37" s="374"/>
      <c r="C37" s="374"/>
      <c r="D37" s="374"/>
      <c r="E37" s="374"/>
      <c r="F37" s="374"/>
      <c r="G37" s="374"/>
      <c r="I37" s="248"/>
      <c r="J37" s="247">
        <v>2020</v>
      </c>
      <c r="K37" s="247">
        <v>2021</v>
      </c>
      <c r="L37" s="247">
        <v>2022</v>
      </c>
      <c r="M37" s="247">
        <v>2023</v>
      </c>
      <c r="N37" s="247">
        <v>2024</v>
      </c>
      <c r="O37" s="247">
        <v>2025</v>
      </c>
      <c r="P37" s="247">
        <v>2026</v>
      </c>
      <c r="Q37" s="247">
        <v>2027</v>
      </c>
      <c r="R37" s="247">
        <v>2028</v>
      </c>
      <c r="S37" s="247">
        <v>2029</v>
      </c>
      <c r="T37" s="247">
        <v>2030</v>
      </c>
    </row>
    <row r="38" spans="1:20" x14ac:dyDescent="0.25">
      <c r="A38" s="210" t="s">
        <v>171</v>
      </c>
      <c r="B38" s="211" t="s">
        <v>172</v>
      </c>
      <c r="C38" s="211"/>
      <c r="D38" s="211" t="s">
        <v>173</v>
      </c>
      <c r="E38" s="211" t="s">
        <v>174</v>
      </c>
      <c r="F38" s="212" t="s">
        <v>175</v>
      </c>
      <c r="I38" s="213" t="s">
        <v>302</v>
      </c>
      <c r="K38" s="153">
        <f>+($B$39-$E$39)/$F$39</f>
        <v>5600000</v>
      </c>
      <c r="L38" s="153">
        <f t="shared" ref="L38:T38" si="0">+($B$39-$E$39)/$F$39</f>
        <v>5600000</v>
      </c>
      <c r="M38" s="153">
        <f t="shared" si="0"/>
        <v>5600000</v>
      </c>
      <c r="N38" s="153">
        <f t="shared" si="0"/>
        <v>5600000</v>
      </c>
      <c r="O38" s="153">
        <f t="shared" si="0"/>
        <v>5600000</v>
      </c>
      <c r="P38" s="153">
        <f t="shared" si="0"/>
        <v>5600000</v>
      </c>
      <c r="Q38" s="153">
        <f t="shared" si="0"/>
        <v>5600000</v>
      </c>
      <c r="R38" s="153">
        <f t="shared" si="0"/>
        <v>5600000</v>
      </c>
      <c r="S38" s="153">
        <f t="shared" si="0"/>
        <v>5600000</v>
      </c>
      <c r="T38" s="153">
        <f t="shared" si="0"/>
        <v>5600000</v>
      </c>
    </row>
    <row r="39" spans="1:20" x14ac:dyDescent="0.25">
      <c r="A39" s="213" t="s">
        <v>298</v>
      </c>
      <c r="B39" s="154">
        <f>+B25</f>
        <v>80000000</v>
      </c>
      <c r="D39" s="214">
        <v>0.3</v>
      </c>
      <c r="E39" s="273">
        <f>+B39*D39</f>
        <v>24000000</v>
      </c>
      <c r="F39" s="216">
        <v>10</v>
      </c>
      <c r="I39" s="213" t="s">
        <v>303</v>
      </c>
      <c r="K39" s="153">
        <f>+($B$40-$E$40)/$F$40</f>
        <v>29000000</v>
      </c>
      <c r="L39" s="153">
        <f t="shared" ref="L39:T39" si="1">+($B$40-$E$40)/$F$40</f>
        <v>29000000</v>
      </c>
      <c r="M39" s="153">
        <f t="shared" si="1"/>
        <v>29000000</v>
      </c>
      <c r="N39" s="153">
        <f t="shared" si="1"/>
        <v>29000000</v>
      </c>
      <c r="O39" s="153">
        <f t="shared" si="1"/>
        <v>29000000</v>
      </c>
      <c r="P39" s="153">
        <f t="shared" si="1"/>
        <v>29000000</v>
      </c>
      <c r="Q39" s="153">
        <f t="shared" si="1"/>
        <v>29000000</v>
      </c>
      <c r="R39" s="153">
        <f t="shared" si="1"/>
        <v>29000000</v>
      </c>
      <c r="S39" s="153">
        <f t="shared" si="1"/>
        <v>29000000</v>
      </c>
      <c r="T39" s="153">
        <f t="shared" si="1"/>
        <v>29000000</v>
      </c>
    </row>
    <row r="40" spans="1:20" x14ac:dyDescent="0.25">
      <c r="A40" s="213" t="s">
        <v>303</v>
      </c>
      <c r="B40" s="154">
        <f>+B26</f>
        <v>290000000</v>
      </c>
      <c r="D40" s="214">
        <v>0</v>
      </c>
      <c r="E40" s="273">
        <f>+B40*D40</f>
        <v>0</v>
      </c>
      <c r="F40" s="216">
        <v>10</v>
      </c>
      <c r="I40" s="213" t="s">
        <v>304</v>
      </c>
      <c r="K40" s="153">
        <f>+($B$41-$E$41)/$F$41</f>
        <v>3150000</v>
      </c>
      <c r="L40" s="153">
        <f t="shared" ref="L40:T40" si="2">+($B$41-$E$41)/$F$41</f>
        <v>3150000</v>
      </c>
      <c r="M40" s="153">
        <f t="shared" si="2"/>
        <v>3150000</v>
      </c>
      <c r="N40" s="153">
        <f t="shared" si="2"/>
        <v>3150000</v>
      </c>
      <c r="O40" s="153">
        <f t="shared" si="2"/>
        <v>3150000</v>
      </c>
      <c r="P40" s="153">
        <f t="shared" si="2"/>
        <v>3150000</v>
      </c>
      <c r="Q40" s="153">
        <f t="shared" si="2"/>
        <v>3150000</v>
      </c>
      <c r="R40" s="153">
        <f t="shared" si="2"/>
        <v>3150000</v>
      </c>
      <c r="S40" s="153">
        <f t="shared" si="2"/>
        <v>3150000</v>
      </c>
      <c r="T40" s="153">
        <f t="shared" si="2"/>
        <v>3150000</v>
      </c>
    </row>
    <row r="41" spans="1:20" x14ac:dyDescent="0.25">
      <c r="A41" s="213" t="s">
        <v>304</v>
      </c>
      <c r="B41" s="154">
        <f>+B27</f>
        <v>45000000</v>
      </c>
      <c r="D41" s="214">
        <v>0.3</v>
      </c>
      <c r="E41" s="273">
        <f>+B41*D41</f>
        <v>13500000</v>
      </c>
      <c r="F41" s="216">
        <v>10</v>
      </c>
      <c r="I41" s="213" t="s">
        <v>305</v>
      </c>
      <c r="K41" s="153">
        <f>+($B$42-$E$42)/$F$42</f>
        <v>3150000</v>
      </c>
      <c r="L41" s="153">
        <f t="shared" ref="L41:T41" si="3">+($B$42-$E$42)/$F$42</f>
        <v>3150000</v>
      </c>
      <c r="M41" s="153">
        <f t="shared" si="3"/>
        <v>3150000</v>
      </c>
      <c r="N41" s="153">
        <f t="shared" si="3"/>
        <v>3150000</v>
      </c>
      <c r="O41" s="153">
        <f t="shared" si="3"/>
        <v>3150000</v>
      </c>
      <c r="P41" s="153">
        <f t="shared" si="3"/>
        <v>3150000</v>
      </c>
      <c r="Q41" s="153">
        <f t="shared" si="3"/>
        <v>3150000</v>
      </c>
      <c r="R41" s="153">
        <f t="shared" si="3"/>
        <v>3150000</v>
      </c>
      <c r="S41" s="153">
        <f t="shared" si="3"/>
        <v>3150000</v>
      </c>
      <c r="T41" s="153">
        <f t="shared" si="3"/>
        <v>3150000</v>
      </c>
    </row>
    <row r="42" spans="1:20" x14ac:dyDescent="0.25">
      <c r="A42" s="213" t="s">
        <v>305</v>
      </c>
      <c r="B42" s="154">
        <f>+B28</f>
        <v>45000000</v>
      </c>
      <c r="D42" s="214">
        <v>0.3</v>
      </c>
      <c r="E42" s="273">
        <f>+B42*D42</f>
        <v>13500000</v>
      </c>
      <c r="F42" s="216">
        <v>10</v>
      </c>
      <c r="I42" s="248" t="s">
        <v>180</v>
      </c>
      <c r="J42" s="248"/>
      <c r="K42" s="158">
        <f t="shared" ref="K42:T42" si="4">SUM(K38:K41)</f>
        <v>40900000</v>
      </c>
      <c r="L42" s="158">
        <f t="shared" si="4"/>
        <v>40900000</v>
      </c>
      <c r="M42" s="158">
        <f t="shared" si="4"/>
        <v>40900000</v>
      </c>
      <c r="N42" s="158">
        <f t="shared" si="4"/>
        <v>40900000</v>
      </c>
      <c r="O42" s="158">
        <f t="shared" si="4"/>
        <v>40900000</v>
      </c>
      <c r="P42" s="158">
        <f t="shared" si="4"/>
        <v>40900000</v>
      </c>
      <c r="Q42" s="158">
        <f t="shared" si="4"/>
        <v>40900000</v>
      </c>
      <c r="R42" s="158">
        <f t="shared" si="4"/>
        <v>40900000</v>
      </c>
      <c r="S42" s="158">
        <f t="shared" si="4"/>
        <v>40900000</v>
      </c>
      <c r="T42" s="158">
        <f t="shared" si="4"/>
        <v>40900000</v>
      </c>
    </row>
    <row r="43" spans="1:20" x14ac:dyDescent="0.25">
      <c r="A43" s="213"/>
      <c r="B43" s="154"/>
      <c r="D43" s="214"/>
      <c r="E43" s="215">
        <f>+B43*D43</f>
        <v>0</v>
      </c>
      <c r="F43" s="216"/>
    </row>
    <row r="44" spans="1:20" ht="16.5" thickBot="1" x14ac:dyDescent="0.3">
      <c r="A44" s="217" t="s">
        <v>181</v>
      </c>
      <c r="B44" s="160">
        <f>SUM(B39:B43)</f>
        <v>460000000</v>
      </c>
      <c r="C44" s="206"/>
      <c r="D44" s="218"/>
      <c r="E44" s="219"/>
      <c r="F44" s="220"/>
    </row>
    <row r="45" spans="1:20" ht="16.5" thickBot="1" x14ac:dyDescent="0.3"/>
    <row r="46" spans="1:20" ht="16.5" thickBot="1" x14ac:dyDescent="0.3">
      <c r="A46" s="371" t="s">
        <v>182</v>
      </c>
      <c r="B46" s="372"/>
      <c r="C46" s="372"/>
      <c r="D46" s="372"/>
      <c r="E46" s="372"/>
      <c r="F46" s="372"/>
      <c r="G46" s="373"/>
    </row>
    <row r="47" spans="1:20" ht="15" x14ac:dyDescent="0.25">
      <c r="A47"/>
      <c r="B47"/>
      <c r="C47"/>
      <c r="D47"/>
      <c r="E47"/>
      <c r="F47"/>
      <c r="G47"/>
      <c r="H47"/>
      <c r="I47"/>
      <c r="J47"/>
      <c r="K47"/>
      <c r="L47"/>
      <c r="M47"/>
      <c r="N47"/>
      <c r="O47"/>
      <c r="P47"/>
      <c r="Q47"/>
      <c r="R47"/>
      <c r="S47"/>
      <c r="T47"/>
    </row>
    <row r="48" spans="1:20" hidden="1" x14ac:dyDescent="0.25">
      <c r="A48" s="205" t="s">
        <v>183</v>
      </c>
    </row>
    <row r="49" spans="1:20" hidden="1" x14ac:dyDescent="0.25">
      <c r="J49" s="209" t="s">
        <v>184</v>
      </c>
      <c r="K49" s="209" t="s">
        <v>185</v>
      </c>
      <c r="L49" s="209" t="s">
        <v>186</v>
      </c>
      <c r="M49" s="209" t="s">
        <v>187</v>
      </c>
      <c r="N49" s="209" t="s">
        <v>188</v>
      </c>
      <c r="O49" s="209" t="s">
        <v>189</v>
      </c>
    </row>
    <row r="50" spans="1:20" hidden="1" x14ac:dyDescent="0.25">
      <c r="A50" s="205" t="s">
        <v>190</v>
      </c>
      <c r="B50" s="222">
        <v>0</v>
      </c>
      <c r="I50" s="205" t="s">
        <v>191</v>
      </c>
      <c r="J50" s="221">
        <f>+B50</f>
        <v>0</v>
      </c>
      <c r="K50" s="221">
        <f>+J50-K53</f>
        <v>0</v>
      </c>
      <c r="L50" s="221">
        <f>+K50-L53</f>
        <v>0</v>
      </c>
      <c r="M50" s="221">
        <f>+L50-M53</f>
        <v>0</v>
      </c>
      <c r="N50" s="221">
        <f>+M50-N53</f>
        <v>0</v>
      </c>
      <c r="O50" s="221">
        <f>+N50-O53</f>
        <v>0</v>
      </c>
    </row>
    <row r="51" spans="1:20" s="205" customFormat="1" hidden="1" x14ac:dyDescent="0.25">
      <c r="A51" s="205" t="s">
        <v>192</v>
      </c>
      <c r="B51" s="223">
        <v>60</v>
      </c>
      <c r="E51" s="224"/>
      <c r="I51" s="205" t="s">
        <v>193</v>
      </c>
      <c r="J51" s="221"/>
      <c r="K51" s="221">
        <f>+J50*$B$52</f>
        <v>0</v>
      </c>
      <c r="L51" s="221">
        <f>+K50*$B$52</f>
        <v>0</v>
      </c>
      <c r="M51" s="221">
        <f>+L50*$B$52</f>
        <v>0</v>
      </c>
      <c r="N51" s="221">
        <f>+M50*$B$52</f>
        <v>0</v>
      </c>
      <c r="O51" s="221">
        <f>+N50*$B$52</f>
        <v>0</v>
      </c>
      <c r="Q51" s="199"/>
      <c r="R51" s="199"/>
      <c r="S51" s="199"/>
      <c r="T51" s="199"/>
    </row>
    <row r="52" spans="1:20" s="205" customFormat="1" hidden="1" x14ac:dyDescent="0.25">
      <c r="A52" s="205" t="s">
        <v>194</v>
      </c>
      <c r="B52" s="225">
        <v>7.2599999999999998E-2</v>
      </c>
      <c r="I52" s="205" t="s">
        <v>195</v>
      </c>
      <c r="J52" s="221"/>
      <c r="K52" s="221">
        <f>+$B$53</f>
        <v>0</v>
      </c>
      <c r="L52" s="221">
        <f>+$B$53</f>
        <v>0</v>
      </c>
      <c r="M52" s="221">
        <f>+$B$53</f>
        <v>0</v>
      </c>
      <c r="N52" s="221">
        <f>+$B$53</f>
        <v>0</v>
      </c>
      <c r="O52" s="221">
        <f>+$B$53</f>
        <v>0</v>
      </c>
      <c r="Q52" s="199"/>
      <c r="R52" s="199"/>
      <c r="S52" s="199"/>
      <c r="T52" s="199"/>
    </row>
    <row r="53" spans="1:20" s="205" customFormat="1" hidden="1" x14ac:dyDescent="0.25">
      <c r="A53" s="205" t="s">
        <v>196</v>
      </c>
      <c r="B53" s="226">
        <f>PMT(B52,B51,-B50)</f>
        <v>0</v>
      </c>
      <c r="E53" s="224"/>
      <c r="I53" s="205" t="s">
        <v>197</v>
      </c>
      <c r="K53" s="208">
        <f>+K52-K51</f>
        <v>0</v>
      </c>
      <c r="L53" s="208">
        <f>+L52-L51</f>
        <v>0</v>
      </c>
      <c r="M53" s="208">
        <f>+M52-M51</f>
        <v>0</v>
      </c>
      <c r="N53" s="208">
        <f>+N52-N51</f>
        <v>0</v>
      </c>
      <c r="O53" s="208">
        <f>+O52-O51</f>
        <v>0</v>
      </c>
      <c r="Q53" s="199"/>
      <c r="R53" s="199"/>
      <c r="S53" s="199"/>
      <c r="T53" s="199"/>
    </row>
    <row r="54" spans="1:20" s="205" customFormat="1" x14ac:dyDescent="0.25">
      <c r="Q54" s="199"/>
      <c r="R54" s="199"/>
      <c r="S54" s="199"/>
      <c r="T54" s="199"/>
    </row>
    <row r="55" spans="1:20" s="205" customFormat="1" x14ac:dyDescent="0.25">
      <c r="Q55" s="199"/>
      <c r="R55" s="199"/>
      <c r="S55" s="199"/>
      <c r="T55" s="199"/>
    </row>
    <row r="56" spans="1:20" s="205" customFormat="1" ht="23.25" customHeight="1" x14ac:dyDescent="0.35">
      <c r="A56" s="370" t="s">
        <v>273</v>
      </c>
      <c r="B56" s="370"/>
      <c r="C56" s="370"/>
      <c r="D56" s="370"/>
      <c r="E56" s="370"/>
      <c r="F56" s="370"/>
      <c r="G56" s="370"/>
      <c r="Q56" s="199"/>
      <c r="R56" s="199"/>
      <c r="S56" s="199"/>
      <c r="T56" s="199"/>
    </row>
    <row r="57" spans="1:20" s="205" customFormat="1" x14ac:dyDescent="0.25">
      <c r="I57" s="248"/>
      <c r="J57" s="247">
        <v>2020</v>
      </c>
      <c r="K57" s="247">
        <v>2021</v>
      </c>
      <c r="L57" s="247">
        <v>2022</v>
      </c>
      <c r="M57" s="247">
        <v>2023</v>
      </c>
      <c r="N57" s="247">
        <v>2024</v>
      </c>
      <c r="O57" s="247">
        <v>2025</v>
      </c>
    </row>
    <row r="58" spans="1:20" s="205" customFormat="1" x14ac:dyDescent="0.25">
      <c r="A58" s="205" t="s">
        <v>190</v>
      </c>
      <c r="B58" s="274">
        <v>1300000000</v>
      </c>
      <c r="I58" s="205" t="s">
        <v>191</v>
      </c>
      <c r="J58" s="172">
        <f>+B58</f>
        <v>1300000000</v>
      </c>
      <c r="K58" s="172">
        <f>+J58-K61</f>
        <v>1040000000</v>
      </c>
      <c r="L58" s="172">
        <f>+K58-L61</f>
        <v>780000000</v>
      </c>
      <c r="M58" s="172">
        <f>+L58-M61</f>
        <v>520000000</v>
      </c>
      <c r="N58" s="172">
        <f>+M58-N61</f>
        <v>260000000</v>
      </c>
      <c r="O58" s="172">
        <f>+N58-O61</f>
        <v>0</v>
      </c>
    </row>
    <row r="59" spans="1:20" s="205" customFormat="1" x14ac:dyDescent="0.25">
      <c r="A59" s="205" t="s">
        <v>192</v>
      </c>
      <c r="B59" s="223">
        <v>5</v>
      </c>
      <c r="I59" s="205" t="s">
        <v>193</v>
      </c>
      <c r="J59" s="172"/>
      <c r="K59" s="172">
        <f>+J58*$B$60</f>
        <v>70590000</v>
      </c>
      <c r="L59" s="172">
        <f>+K58*$B$60</f>
        <v>56472000</v>
      </c>
      <c r="M59" s="172">
        <f>+L58*$B$60</f>
        <v>42354000</v>
      </c>
      <c r="N59" s="172">
        <f>+M58*$B$60</f>
        <v>28236000</v>
      </c>
      <c r="O59" s="172">
        <f>+N58*$B$60</f>
        <v>14118000</v>
      </c>
    </row>
    <row r="60" spans="1:20" s="205" customFormat="1" x14ac:dyDescent="0.25">
      <c r="A60" s="205" t="s">
        <v>199</v>
      </c>
      <c r="B60" s="227">
        <v>5.4300000000000001E-2</v>
      </c>
      <c r="I60" s="205" t="s">
        <v>195</v>
      </c>
      <c r="J60" s="172"/>
      <c r="K60" s="172">
        <f>+K59+K61</f>
        <v>330590000</v>
      </c>
      <c r="L60" s="172">
        <f>+L59+L61</f>
        <v>316472000</v>
      </c>
      <c r="M60" s="172">
        <f>+M59+M61</f>
        <v>302354000</v>
      </c>
      <c r="N60" s="172">
        <f>+N59+N61</f>
        <v>288236000</v>
      </c>
      <c r="O60" s="172">
        <f>+O59+O61</f>
        <v>274118000</v>
      </c>
    </row>
    <row r="61" spans="1:20" s="205" customFormat="1" x14ac:dyDescent="0.25">
      <c r="A61" s="205" t="s">
        <v>182</v>
      </c>
      <c r="B61" s="153">
        <f>+B58/B59</f>
        <v>260000000</v>
      </c>
      <c r="I61" s="205" t="s">
        <v>197</v>
      </c>
      <c r="J61" s="153"/>
      <c r="K61" s="153">
        <f>+$B$61</f>
        <v>260000000</v>
      </c>
      <c r="L61" s="153">
        <f>+$B$61</f>
        <v>260000000</v>
      </c>
      <c r="M61" s="153">
        <f>+$B$61</f>
        <v>260000000</v>
      </c>
      <c r="N61" s="153">
        <f>+$B$61</f>
        <v>260000000</v>
      </c>
      <c r="O61" s="153">
        <f>+$B$61</f>
        <v>260000000</v>
      </c>
    </row>
    <row r="62" spans="1:20" s="205" customFormat="1" x14ac:dyDescent="0.25">
      <c r="Q62" s="199"/>
      <c r="R62" s="199"/>
      <c r="S62" s="199"/>
      <c r="T62" s="199"/>
    </row>
    <row r="63" spans="1:20" s="205" customFormat="1" x14ac:dyDescent="0.25">
      <c r="Q63" s="199"/>
      <c r="R63" s="199"/>
      <c r="S63" s="199"/>
      <c r="T63" s="199"/>
    </row>
    <row r="64" spans="1:20" s="205" customFormat="1" x14ac:dyDescent="0.25">
      <c r="I64" s="248"/>
      <c r="J64" s="247">
        <v>2020</v>
      </c>
      <c r="K64" s="247">
        <v>2021</v>
      </c>
      <c r="L64" s="247">
        <v>2022</v>
      </c>
      <c r="M64" s="247">
        <v>2023</v>
      </c>
      <c r="N64" s="247">
        <v>2024</v>
      </c>
      <c r="O64" s="247">
        <v>2025</v>
      </c>
      <c r="Q64" s="199"/>
      <c r="R64" s="199"/>
      <c r="S64" s="199"/>
      <c r="T64" s="199"/>
    </row>
    <row r="65" spans="1:20" s="205" customFormat="1" x14ac:dyDescent="0.25">
      <c r="I65" s="248" t="s">
        <v>200</v>
      </c>
      <c r="J65" s="175">
        <f>+B65</f>
        <v>0</v>
      </c>
      <c r="K65" s="175">
        <f>+K51+K59</f>
        <v>70590000</v>
      </c>
      <c r="L65" s="175">
        <f>+L51+L59</f>
        <v>56472000</v>
      </c>
      <c r="M65" s="175">
        <f>+M51+M59</f>
        <v>42354000</v>
      </c>
      <c r="N65" s="175">
        <f>+N51+N59</f>
        <v>28236000</v>
      </c>
      <c r="O65" s="175">
        <f>+O51+O59</f>
        <v>14118000</v>
      </c>
      <c r="Q65" s="199"/>
      <c r="R65" s="199"/>
      <c r="S65" s="199"/>
      <c r="T65" s="199"/>
    </row>
    <row r="66" spans="1:20" s="205" customFormat="1" x14ac:dyDescent="0.25">
      <c r="I66" s="248" t="s">
        <v>197</v>
      </c>
      <c r="J66" s="175"/>
      <c r="K66" s="175">
        <f>+K53+K61</f>
        <v>260000000</v>
      </c>
      <c r="L66" s="175">
        <f>+L53+L61</f>
        <v>260000000</v>
      </c>
      <c r="M66" s="175">
        <f>+M53+M61</f>
        <v>260000000</v>
      </c>
      <c r="N66" s="175">
        <f>+N53+N61</f>
        <v>260000000</v>
      </c>
      <c r="O66" s="175">
        <f>+O53+O61</f>
        <v>260000000</v>
      </c>
      <c r="Q66" s="199"/>
      <c r="R66" s="199"/>
      <c r="S66" s="199"/>
      <c r="T66" s="199"/>
    </row>
    <row r="67" spans="1:20" s="205" customFormat="1" x14ac:dyDescent="0.25">
      <c r="Q67" s="199"/>
      <c r="R67" s="199"/>
      <c r="S67" s="199"/>
      <c r="T67" s="199"/>
    </row>
    <row r="68" spans="1:20" s="205" customFormat="1" ht="23.25" x14ac:dyDescent="0.35">
      <c r="A68" s="370" t="s">
        <v>201</v>
      </c>
      <c r="B68" s="370"/>
      <c r="C68" s="370"/>
      <c r="D68" s="370"/>
      <c r="E68" s="370"/>
      <c r="F68" s="370"/>
      <c r="G68" s="370"/>
      <c r="Q68" s="199"/>
      <c r="R68" s="199"/>
      <c r="S68" s="199"/>
      <c r="T68" s="199"/>
    </row>
    <row r="69" spans="1:20" s="205" customFormat="1" x14ac:dyDescent="0.25">
      <c r="Q69" s="199"/>
      <c r="R69" s="199"/>
      <c r="S69" s="199"/>
      <c r="T69" s="199"/>
    </row>
    <row r="70" spans="1:20" s="205" customFormat="1" x14ac:dyDescent="0.25">
      <c r="A70" s="205" t="s">
        <v>306</v>
      </c>
      <c r="B70" s="230">
        <f>(PYG!K10/PYG!G10)^(1/(4-1))-1</f>
        <v>0.19539867663232013</v>
      </c>
      <c r="I70" s="248"/>
      <c r="J70" s="247">
        <v>2020</v>
      </c>
      <c r="K70" s="247">
        <v>2021</v>
      </c>
      <c r="L70" s="247">
        <v>2022</v>
      </c>
      <c r="M70" s="247">
        <v>2023</v>
      </c>
      <c r="N70" s="247">
        <v>2024</v>
      </c>
      <c r="O70" s="247">
        <v>2025</v>
      </c>
      <c r="Q70" s="199"/>
      <c r="R70" s="199"/>
      <c r="S70" s="199"/>
      <c r="T70" s="199"/>
    </row>
    <row r="71" spans="1:20" s="205" customFormat="1" x14ac:dyDescent="0.25">
      <c r="I71" s="205" t="s">
        <v>203</v>
      </c>
      <c r="J71" s="221"/>
      <c r="K71" s="172">
        <f>+PYG!G10</f>
        <v>4220588611.5</v>
      </c>
      <c r="L71" s="172">
        <f>+PYG!H10</f>
        <v>4967842142.7000008</v>
      </c>
      <c r="M71" s="172">
        <f>+PYG!I10</f>
        <v>5715095673.9000006</v>
      </c>
      <c r="N71" s="172">
        <f>+PYG!J10</f>
        <v>6462349205.1000004</v>
      </c>
      <c r="O71" s="172">
        <f>+PYG!K10</f>
        <v>7209602736.3000002</v>
      </c>
      <c r="Q71" s="199"/>
      <c r="R71" s="199"/>
      <c r="S71" s="199"/>
      <c r="T71" s="199"/>
    </row>
    <row r="72" spans="1:20" s="205" customFormat="1" x14ac:dyDescent="0.25">
      <c r="I72" s="205" t="s">
        <v>274</v>
      </c>
      <c r="K72" s="153">
        <f>K71*$B$70</f>
        <v>824697429.29654157</v>
      </c>
      <c r="L72" s="153">
        <f>L71*$B$70</f>
        <v>970709780.40184987</v>
      </c>
      <c r="M72" s="153">
        <f>M71*$B$70</f>
        <v>1116722131.507158</v>
      </c>
      <c r="N72" s="153">
        <f>N71*$B$70</f>
        <v>1262734482.6124661</v>
      </c>
      <c r="O72" s="153">
        <f>O71*$B$70</f>
        <v>1408746833.7177742</v>
      </c>
      <c r="Q72" s="199"/>
      <c r="R72" s="199"/>
      <c r="S72" s="199"/>
      <c r="T72" s="199"/>
    </row>
    <row r="73" spans="1:20" s="205" customFormat="1" x14ac:dyDescent="0.25">
      <c r="I73" s="248"/>
      <c r="J73" s="249"/>
      <c r="K73" s="158">
        <f>+K71+K72</f>
        <v>5045286040.7965412</v>
      </c>
      <c r="L73" s="158">
        <f>+L71+L72</f>
        <v>5938551923.1018505</v>
      </c>
      <c r="M73" s="158">
        <f>+M71+M72</f>
        <v>6831817805.4071589</v>
      </c>
      <c r="N73" s="158">
        <f>+N71+N72</f>
        <v>7725083687.7124662</v>
      </c>
      <c r="O73" s="158">
        <f>+O71+O72</f>
        <v>8618349570.0177746</v>
      </c>
      <c r="Q73" s="199"/>
      <c r="R73" s="199"/>
      <c r="S73" s="199"/>
      <c r="T73" s="199"/>
    </row>
    <row r="74" spans="1:20" s="205" customFormat="1" x14ac:dyDescent="0.25">
      <c r="B74" s="221"/>
      <c r="Q74" s="199"/>
      <c r="R74" s="199"/>
      <c r="S74" s="199"/>
      <c r="T74" s="199"/>
    </row>
    <row r="75" spans="1:20" s="205" customFormat="1" x14ac:dyDescent="0.25">
      <c r="A75" s="205" t="s">
        <v>204</v>
      </c>
      <c r="B75" s="231">
        <v>2.6800000000000001E-2</v>
      </c>
      <c r="Q75" s="199"/>
      <c r="R75" s="199"/>
      <c r="S75" s="199"/>
      <c r="T75" s="199"/>
    </row>
    <row r="76" spans="1:20" s="205" customFormat="1" x14ac:dyDescent="0.25">
      <c r="A76" s="205" t="s">
        <v>205</v>
      </c>
      <c r="B76" s="231">
        <v>2.6800000000000001E-2</v>
      </c>
      <c r="Q76" s="199"/>
      <c r="R76" s="199"/>
      <c r="S76" s="199"/>
      <c r="T76" s="199"/>
    </row>
    <row r="77" spans="1:20" s="205" customFormat="1" x14ac:dyDescent="0.25">
      <c r="Q77" s="199"/>
      <c r="R77" s="199"/>
      <c r="S77" s="199"/>
      <c r="T77" s="199"/>
    </row>
    <row r="78" spans="1:20" s="205" customFormat="1" x14ac:dyDescent="0.25">
      <c r="A78" s="205" t="s">
        <v>307</v>
      </c>
      <c r="Q78" s="199"/>
      <c r="R78" s="199"/>
      <c r="S78" s="199"/>
      <c r="T78" s="199"/>
    </row>
    <row r="79" spans="1:20" s="205" customFormat="1" x14ac:dyDescent="0.25">
      <c r="Q79" s="199"/>
      <c r="R79" s="199"/>
      <c r="S79" s="199"/>
      <c r="T79" s="199"/>
    </row>
    <row r="80" spans="1:20" s="205" customFormat="1" ht="23.25" x14ac:dyDescent="0.35">
      <c r="A80" s="370" t="s">
        <v>207</v>
      </c>
      <c r="B80" s="370"/>
      <c r="C80" s="370"/>
      <c r="D80" s="370"/>
      <c r="E80" s="370"/>
      <c r="F80" s="370"/>
      <c r="G80" s="370"/>
      <c r="Q80" s="199"/>
      <c r="R80" s="199"/>
      <c r="S80" s="199"/>
      <c r="T80" s="199"/>
    </row>
    <row r="81" spans="1:20" s="205" customFormat="1" x14ac:dyDescent="0.25">
      <c r="I81" s="248"/>
      <c r="J81" s="247">
        <v>2020</v>
      </c>
      <c r="K81" s="247">
        <v>2021</v>
      </c>
      <c r="L81" s="247">
        <v>2022</v>
      </c>
      <c r="M81" s="247">
        <v>2023</v>
      </c>
      <c r="N81" s="247">
        <v>2024</v>
      </c>
      <c r="O81" s="247">
        <v>2025</v>
      </c>
      <c r="Q81" s="199"/>
      <c r="R81" s="199"/>
      <c r="S81" s="199"/>
      <c r="T81" s="199"/>
    </row>
    <row r="82" spans="1:20" s="205" customFormat="1" x14ac:dyDescent="0.25">
      <c r="A82" s="228" t="s">
        <v>209</v>
      </c>
      <c r="B82" s="228" t="s">
        <v>210</v>
      </c>
      <c r="D82" s="228" t="s">
        <v>211</v>
      </c>
      <c r="E82" s="228" t="s">
        <v>212</v>
      </c>
      <c r="I82" s="205" t="s">
        <v>208</v>
      </c>
      <c r="J82" s="172"/>
      <c r="K82" s="172">
        <f>+K73</f>
        <v>5045286040.7965412</v>
      </c>
      <c r="L82" s="172">
        <f>+L73</f>
        <v>5938551923.1018505</v>
      </c>
      <c r="M82" s="172">
        <f>+M73</f>
        <v>6831817805.4071589</v>
      </c>
      <c r="N82" s="172">
        <f>+N73</f>
        <v>7725083687.7124662</v>
      </c>
      <c r="O82" s="172">
        <f>+O73</f>
        <v>8618349570.0177746</v>
      </c>
      <c r="Q82" s="199"/>
      <c r="R82" s="199"/>
      <c r="S82" s="199"/>
      <c r="T82" s="199"/>
    </row>
    <row r="83" spans="1:20" s="205" customFormat="1" x14ac:dyDescent="0.25">
      <c r="A83" s="243" t="str">
        <f>+A20</f>
        <v xml:space="preserve">campañas pautas facebook, instagram, linkedin, google, youtube </v>
      </c>
      <c r="B83" s="183">
        <v>4000000</v>
      </c>
      <c r="D83" s="244">
        <v>12</v>
      </c>
      <c r="E83" s="241">
        <f>+B83/$B$86</f>
        <v>0.23529411764705882</v>
      </c>
      <c r="I83" s="205" t="s">
        <v>213</v>
      </c>
      <c r="J83" s="172"/>
      <c r="K83" s="172">
        <f>+B87</f>
        <v>204000000</v>
      </c>
      <c r="L83" s="172">
        <f>+K83*$B$75+K83</f>
        <v>209467200</v>
      </c>
      <c r="M83" s="172">
        <f>+L83*$B$75+L83</f>
        <v>215080920.96000001</v>
      </c>
      <c r="N83" s="172">
        <f>+M83*$B$75+M83</f>
        <v>220845089.64172801</v>
      </c>
      <c r="O83" s="172">
        <f>+N83*$B$75+N83</f>
        <v>226763738.04412633</v>
      </c>
      <c r="Q83" s="199"/>
      <c r="R83" s="199"/>
      <c r="S83" s="199"/>
      <c r="T83" s="199"/>
    </row>
    <row r="84" spans="1:20" s="205" customFormat="1" x14ac:dyDescent="0.25">
      <c r="A84" s="243" t="str">
        <f>+A21</f>
        <v xml:space="preserve">hosting y dominios </v>
      </c>
      <c r="B84" s="183">
        <v>7000000</v>
      </c>
      <c r="D84" s="244">
        <v>12</v>
      </c>
      <c r="E84" s="241">
        <f>+B84/$B$86</f>
        <v>0.41176470588235292</v>
      </c>
      <c r="I84" s="248"/>
      <c r="J84" s="158"/>
      <c r="K84" s="158">
        <f>+K82-K83</f>
        <v>4841286040.7965412</v>
      </c>
      <c r="L84" s="158">
        <f>+L82-L83</f>
        <v>5729084723.1018505</v>
      </c>
      <c r="M84" s="158">
        <f>+M82-M83</f>
        <v>6616736884.4471588</v>
      </c>
      <c r="N84" s="158">
        <f>+N82-N83</f>
        <v>7504238598.0707378</v>
      </c>
      <c r="O84" s="158">
        <f>+O82-O83</f>
        <v>8391585831.9736481</v>
      </c>
      <c r="Q84" s="199"/>
      <c r="R84" s="199"/>
      <c r="S84" s="199"/>
      <c r="T84" s="199"/>
    </row>
    <row r="85" spans="1:20" s="205" customFormat="1" x14ac:dyDescent="0.25">
      <c r="A85" s="243" t="str">
        <f>+A22</f>
        <v>accesos con pago a stock(contenido en linea)</v>
      </c>
      <c r="B85" s="183">
        <v>6000000</v>
      </c>
      <c r="D85" s="244">
        <v>12</v>
      </c>
      <c r="E85" s="242">
        <f>+B85/$B$86</f>
        <v>0.35294117647058826</v>
      </c>
      <c r="Q85" s="199"/>
      <c r="R85" s="199"/>
      <c r="S85" s="199"/>
      <c r="T85" s="199"/>
    </row>
    <row r="86" spans="1:20" s="205" customFormat="1" x14ac:dyDescent="0.25">
      <c r="B86" s="183">
        <f>SUM(B83:B85)</f>
        <v>17000000</v>
      </c>
      <c r="D86" s="244">
        <v>12</v>
      </c>
      <c r="Q86" s="199"/>
      <c r="R86" s="199"/>
      <c r="S86" s="199"/>
      <c r="T86" s="199"/>
    </row>
    <row r="87" spans="1:20" s="205" customFormat="1" x14ac:dyDescent="0.25">
      <c r="A87" s="244" t="s">
        <v>214</v>
      </c>
      <c r="B87" s="183">
        <f>+B86*D86</f>
        <v>204000000</v>
      </c>
      <c r="D87" s="244" t="s">
        <v>215</v>
      </c>
      <c r="Q87" s="199"/>
      <c r="R87" s="199"/>
      <c r="S87" s="199"/>
      <c r="T87" s="199"/>
    </row>
    <row r="88" spans="1:20" s="205" customFormat="1" x14ac:dyDescent="0.25">
      <c r="B88" s="229"/>
      <c r="Q88" s="199"/>
      <c r="R88" s="199"/>
      <c r="S88" s="199"/>
      <c r="T88" s="199"/>
    </row>
    <row r="89" spans="1:20" s="205" customFormat="1" x14ac:dyDescent="0.25">
      <c r="B89" s="229"/>
      <c r="Q89" s="199"/>
      <c r="R89" s="199"/>
      <c r="S89" s="199"/>
      <c r="T89" s="199"/>
    </row>
    <row r="90" spans="1:20" s="205" customFormat="1" x14ac:dyDescent="0.25">
      <c r="Q90" s="199"/>
      <c r="R90" s="199"/>
      <c r="S90" s="199"/>
      <c r="T90" s="199"/>
    </row>
    <row r="91" spans="1:20" s="205" customFormat="1" ht="23.25" x14ac:dyDescent="0.35">
      <c r="A91" s="370" t="s">
        <v>216</v>
      </c>
      <c r="B91" s="370"/>
      <c r="C91" s="370"/>
      <c r="D91" s="370"/>
      <c r="E91" s="370"/>
      <c r="F91" s="370"/>
      <c r="G91" s="370"/>
      <c r="I91" s="248"/>
      <c r="J91" s="247">
        <v>2020</v>
      </c>
      <c r="K91" s="247">
        <v>2021</v>
      </c>
      <c r="L91" s="247">
        <v>2022</v>
      </c>
      <c r="M91" s="247">
        <v>2023</v>
      </c>
      <c r="N91" s="247">
        <v>2024</v>
      </c>
      <c r="O91" s="247">
        <v>2025</v>
      </c>
      <c r="Q91" s="199"/>
      <c r="R91" s="199"/>
      <c r="S91" s="199"/>
      <c r="T91" s="199"/>
    </row>
    <row r="92" spans="1:20" s="205" customFormat="1" x14ac:dyDescent="0.25">
      <c r="I92" s="205" t="s">
        <v>217</v>
      </c>
      <c r="J92" s="172"/>
      <c r="K92" s="172">
        <f>+B98</f>
        <v>143110140</v>
      </c>
      <c r="L92" s="172">
        <f>+K92*$B$76+K92</f>
        <v>146945491.752</v>
      </c>
      <c r="M92" s="172">
        <f>+L92*$B$76+L92</f>
        <v>150883630.93095359</v>
      </c>
      <c r="N92" s="172">
        <f>+M92*$B$76+M92</f>
        <v>154927312.23990315</v>
      </c>
      <c r="O92" s="172">
        <f>+N92*$B$76+N92</f>
        <v>159079364.20793256</v>
      </c>
      <c r="Q92" s="199"/>
      <c r="R92" s="199"/>
      <c r="S92" s="199"/>
      <c r="T92" s="199"/>
    </row>
    <row r="93" spans="1:20" s="205" customFormat="1" x14ac:dyDescent="0.25">
      <c r="A93" s="228" t="s">
        <v>209</v>
      </c>
      <c r="B93" s="228" t="s">
        <v>210</v>
      </c>
      <c r="D93" s="228" t="s">
        <v>211</v>
      </c>
      <c r="J93" s="172"/>
      <c r="K93" s="172"/>
      <c r="L93" s="172"/>
      <c r="M93" s="172"/>
      <c r="N93" s="172"/>
      <c r="O93" s="172"/>
      <c r="Q93" s="199"/>
      <c r="R93" s="199"/>
      <c r="S93" s="199"/>
      <c r="T93" s="199"/>
    </row>
    <row r="94" spans="1:20" s="205" customFormat="1" x14ac:dyDescent="0.25">
      <c r="A94" s="243" t="str">
        <f>+A15</f>
        <v>1 director</v>
      </c>
      <c r="B94" s="183">
        <f>+B15</f>
        <v>4340645</v>
      </c>
      <c r="D94" s="244">
        <v>12</v>
      </c>
      <c r="I94" s="248"/>
      <c r="J94" s="247">
        <v>2020</v>
      </c>
      <c r="K94" s="247">
        <v>2021</v>
      </c>
      <c r="L94" s="247">
        <v>2022</v>
      </c>
      <c r="M94" s="247">
        <v>2023</v>
      </c>
      <c r="N94" s="247">
        <v>2024</v>
      </c>
      <c r="O94" s="247">
        <v>2025</v>
      </c>
      <c r="Q94" s="199"/>
      <c r="R94" s="199"/>
      <c r="S94" s="199"/>
      <c r="T94" s="199"/>
    </row>
    <row r="95" spans="1:20" s="205" customFormat="1" x14ac:dyDescent="0.25">
      <c r="A95" s="243" t="str">
        <f>+A16</f>
        <v xml:space="preserve">2 comunicadora (redes sociales y pagina web) </v>
      </c>
      <c r="B95" s="183">
        <f>+B16</f>
        <v>7585200</v>
      </c>
      <c r="D95" s="244">
        <v>12</v>
      </c>
      <c r="I95" s="248" t="s">
        <v>219</v>
      </c>
      <c r="J95" s="175"/>
      <c r="K95" s="175">
        <f>+K83+K92</f>
        <v>347110140</v>
      </c>
      <c r="L95" s="175">
        <f>+L83+L92</f>
        <v>356412691.75199997</v>
      </c>
      <c r="M95" s="175">
        <f>+M83+M92</f>
        <v>365964551.8909536</v>
      </c>
      <c r="N95" s="175">
        <f>+N83+N92</f>
        <v>375772401.88163114</v>
      </c>
      <c r="O95" s="175">
        <f>+O83+O92</f>
        <v>385843102.25205886</v>
      </c>
      <c r="P95" s="208"/>
      <c r="Q95" s="199"/>
      <c r="R95" s="199"/>
      <c r="S95" s="199"/>
      <c r="T95" s="199"/>
    </row>
    <row r="96" spans="1:20" s="205" customFormat="1" x14ac:dyDescent="0.25">
      <c r="A96" s="243" t="str">
        <f>+A17</f>
        <v>1 diseñador (visual, diseño gráfico)</v>
      </c>
      <c r="B96" s="183">
        <v>0</v>
      </c>
      <c r="D96" s="244"/>
      <c r="P96" s="208"/>
      <c r="Q96" s="199"/>
      <c r="R96" s="199"/>
      <c r="S96" s="199"/>
      <c r="T96" s="199"/>
    </row>
    <row r="97" spans="1:20" s="205" customFormat="1" x14ac:dyDescent="0.25">
      <c r="B97" s="183">
        <f>SUM(B94:B96)</f>
        <v>11925845</v>
      </c>
      <c r="P97" s="208"/>
      <c r="Q97" s="199"/>
      <c r="R97" s="199"/>
      <c r="S97" s="199"/>
      <c r="T97" s="199"/>
    </row>
    <row r="98" spans="1:20" s="205" customFormat="1" x14ac:dyDescent="0.25">
      <c r="A98" s="244" t="s">
        <v>220</v>
      </c>
      <c r="B98" s="183">
        <f>+B97*D95</f>
        <v>143110140</v>
      </c>
      <c r="D98" s="244" t="s">
        <v>215</v>
      </c>
      <c r="Q98" s="199"/>
      <c r="R98" s="199"/>
      <c r="S98" s="199"/>
      <c r="T98" s="199"/>
    </row>
    <row r="99" spans="1:20" s="205" customFormat="1" x14ac:dyDescent="0.25">
      <c r="Q99" s="199"/>
      <c r="R99" s="199"/>
      <c r="S99" s="199"/>
      <c r="T99" s="199"/>
    </row>
    <row r="100" spans="1:20" s="205" customFormat="1" x14ac:dyDescent="0.25">
      <c r="Q100" s="199"/>
      <c r="R100" s="199"/>
      <c r="S100" s="199"/>
      <c r="T100" s="199"/>
    </row>
    <row r="101" spans="1:20" s="205" customFormat="1" x14ac:dyDescent="0.25">
      <c r="I101" s="248"/>
      <c r="J101" s="247">
        <v>2020</v>
      </c>
      <c r="K101" s="247">
        <v>2021</v>
      </c>
      <c r="L101" s="247">
        <v>2022</v>
      </c>
      <c r="M101" s="247">
        <v>2023</v>
      </c>
      <c r="N101" s="247">
        <v>2024</v>
      </c>
      <c r="O101" s="247">
        <v>2025</v>
      </c>
      <c r="Q101" s="199"/>
      <c r="R101" s="199"/>
      <c r="S101" s="199"/>
      <c r="T101" s="199"/>
    </row>
    <row r="102" spans="1:20" s="205" customFormat="1" ht="23.25" x14ac:dyDescent="0.35">
      <c r="A102" s="370" t="s">
        <v>221</v>
      </c>
      <c r="B102" s="370"/>
      <c r="C102" s="370"/>
      <c r="D102" s="370"/>
      <c r="E102" s="370"/>
      <c r="F102" s="370"/>
      <c r="G102" s="370"/>
      <c r="I102" s="205" t="s">
        <v>219</v>
      </c>
      <c r="J102" s="172">
        <f t="shared" ref="J102:O102" si="5">+J95</f>
        <v>0</v>
      </c>
      <c r="K102" s="172">
        <f t="shared" si="5"/>
        <v>347110140</v>
      </c>
      <c r="L102" s="172">
        <f t="shared" si="5"/>
        <v>356412691.75199997</v>
      </c>
      <c r="M102" s="172">
        <f t="shared" si="5"/>
        <v>365964551.8909536</v>
      </c>
      <c r="N102" s="172">
        <f t="shared" si="5"/>
        <v>375772401.88163114</v>
      </c>
      <c r="O102" s="172">
        <f t="shared" si="5"/>
        <v>385843102.25205886</v>
      </c>
      <c r="Q102" s="199"/>
      <c r="R102" s="199"/>
      <c r="S102" s="199"/>
      <c r="T102" s="199"/>
    </row>
    <row r="103" spans="1:20" s="205" customFormat="1" x14ac:dyDescent="0.25">
      <c r="E103" s="224"/>
      <c r="I103" s="205" t="s">
        <v>222</v>
      </c>
      <c r="J103" s="153"/>
      <c r="K103" s="172">
        <f>+K102*$B$104</f>
        <v>208266084</v>
      </c>
      <c r="L103" s="172">
        <f>+L102*$B$104</f>
        <v>213847615.05119997</v>
      </c>
      <c r="M103" s="172">
        <f>+M102*$B$104</f>
        <v>219578731.13457215</v>
      </c>
      <c r="N103" s="172">
        <f>+N102*$B$104</f>
        <v>225463441.12897867</v>
      </c>
      <c r="O103" s="172">
        <f>+O102*$B$104</f>
        <v>231505861.3512353</v>
      </c>
      <c r="P103" s="224"/>
      <c r="Q103" s="199"/>
      <c r="R103" s="199"/>
      <c r="S103" s="199"/>
      <c r="T103" s="199"/>
    </row>
    <row r="104" spans="1:20" s="205" customFormat="1" x14ac:dyDescent="0.25">
      <c r="A104" s="205" t="s">
        <v>224</v>
      </c>
      <c r="B104" s="230">
        <v>0.6</v>
      </c>
      <c r="I104" s="248" t="s">
        <v>223</v>
      </c>
      <c r="J104" s="158">
        <f>+K103</f>
        <v>208266084</v>
      </c>
      <c r="K104" s="158">
        <f>+L103-K103</f>
        <v>5581531.0511999726</v>
      </c>
      <c r="L104" s="158">
        <f>+M103-L103</f>
        <v>5731116.0833721757</v>
      </c>
      <c r="M104" s="158">
        <f>+N103-M103</f>
        <v>5884709.9944065213</v>
      </c>
      <c r="N104" s="158">
        <f>+O103-N103</f>
        <v>6042420.2222566307</v>
      </c>
      <c r="O104" s="158"/>
      <c r="P104" s="224"/>
      <c r="Q104" s="199"/>
      <c r="R104" s="199"/>
      <c r="S104" s="199"/>
      <c r="T104" s="199"/>
    </row>
    <row r="105" spans="1:20" s="205" customFormat="1" x14ac:dyDescent="0.25">
      <c r="Q105" s="199"/>
      <c r="R105" s="199"/>
      <c r="S105" s="199"/>
      <c r="T105" s="199"/>
    </row>
    <row r="106" spans="1:20" s="205" customFormat="1" x14ac:dyDescent="0.25">
      <c r="Q106" s="199"/>
      <c r="R106" s="199"/>
      <c r="S106" s="199"/>
      <c r="T106" s="199"/>
    </row>
    <row r="107" spans="1:20" s="205" customFormat="1" x14ac:dyDescent="0.25">
      <c r="I107" s="205" t="s">
        <v>225</v>
      </c>
      <c r="Q107" s="199"/>
      <c r="R107" s="199"/>
      <c r="S107" s="199"/>
      <c r="T107" s="199"/>
    </row>
    <row r="108" spans="1:20" s="205" customFormat="1" x14ac:dyDescent="0.25">
      <c r="Q108" s="199"/>
      <c r="R108" s="199"/>
      <c r="S108" s="199"/>
      <c r="T108" s="199"/>
    </row>
    <row r="109" spans="1:20" s="205" customFormat="1" x14ac:dyDescent="0.25">
      <c r="I109" s="248"/>
      <c r="J109" s="247">
        <v>2020</v>
      </c>
      <c r="K109" s="247">
        <v>2021</v>
      </c>
      <c r="L109" s="247">
        <v>2022</v>
      </c>
      <c r="M109" s="247">
        <v>2023</v>
      </c>
      <c r="N109" s="247">
        <v>2024</v>
      </c>
      <c r="O109" s="247">
        <v>2025</v>
      </c>
      <c r="Q109" s="199"/>
      <c r="R109" s="199"/>
      <c r="S109" s="199"/>
      <c r="T109" s="199"/>
    </row>
    <row r="110" spans="1:20" s="205" customFormat="1" x14ac:dyDescent="0.25">
      <c r="A110" s="205" t="s">
        <v>226</v>
      </c>
      <c r="B110" s="230">
        <v>0.31</v>
      </c>
      <c r="Q110" s="199"/>
      <c r="R110" s="199"/>
      <c r="S110" s="199"/>
      <c r="T110" s="199"/>
    </row>
    <row r="111" spans="1:20" s="205" customFormat="1" x14ac:dyDescent="0.25">
      <c r="A111" s="205" t="s">
        <v>228</v>
      </c>
      <c r="B111" s="245">
        <f>+[3]WACC!D18</f>
        <v>0.2</v>
      </c>
      <c r="I111" s="205" t="s">
        <v>227</v>
      </c>
      <c r="J111" s="221"/>
      <c r="K111" s="172">
        <f>+K73</f>
        <v>5045286040.7965412</v>
      </c>
      <c r="L111" s="172">
        <f>+L73</f>
        <v>5938551923.1018505</v>
      </c>
      <c r="M111" s="172">
        <f>+M73</f>
        <v>6831817805.4071589</v>
      </c>
      <c r="N111" s="172">
        <f>+N73</f>
        <v>7725083687.7124662</v>
      </c>
      <c r="O111" s="172">
        <f>+O73</f>
        <v>8618349570.0177746</v>
      </c>
      <c r="Q111" s="199"/>
      <c r="R111" s="199"/>
      <c r="S111" s="199"/>
      <c r="T111" s="199"/>
    </row>
    <row r="112" spans="1:20" s="205" customFormat="1" x14ac:dyDescent="0.25">
      <c r="A112" s="205" t="s">
        <v>230</v>
      </c>
      <c r="B112" s="205">
        <v>4</v>
      </c>
      <c r="I112" s="205" t="s">
        <v>229</v>
      </c>
      <c r="J112" s="221"/>
      <c r="K112" s="172">
        <f>+K95</f>
        <v>347110140</v>
      </c>
      <c r="L112" s="172">
        <f>+L95</f>
        <v>356412691.75199997</v>
      </c>
      <c r="M112" s="172">
        <f>+M95</f>
        <v>365964551.8909536</v>
      </c>
      <c r="N112" s="172">
        <f>+N95</f>
        <v>375772401.88163114</v>
      </c>
      <c r="O112" s="172">
        <f>+O95</f>
        <v>385843102.25205886</v>
      </c>
      <c r="Q112" s="199"/>
      <c r="R112" s="199"/>
      <c r="S112" s="199"/>
      <c r="T112" s="199"/>
    </row>
    <row r="113" spans="5:20" s="205" customFormat="1" x14ac:dyDescent="0.25">
      <c r="I113" s="205" t="s">
        <v>231</v>
      </c>
      <c r="J113" s="221"/>
      <c r="K113" s="172">
        <f>+K42</f>
        <v>40900000</v>
      </c>
      <c r="L113" s="172">
        <f>+L42</f>
        <v>40900000</v>
      </c>
      <c r="M113" s="172">
        <f>+M42</f>
        <v>40900000</v>
      </c>
      <c r="N113" s="172">
        <f>+N42</f>
        <v>40900000</v>
      </c>
      <c r="O113" s="172">
        <f>+O42</f>
        <v>40900000</v>
      </c>
      <c r="Q113" s="199"/>
      <c r="R113" s="199"/>
      <c r="S113" s="199"/>
      <c r="T113" s="199"/>
    </row>
    <row r="114" spans="5:20" s="205" customFormat="1" x14ac:dyDescent="0.25">
      <c r="I114" s="205" t="s">
        <v>200</v>
      </c>
      <c r="J114" s="221"/>
      <c r="K114" s="172">
        <f>+K65</f>
        <v>70590000</v>
      </c>
      <c r="L114" s="172">
        <f>+L65</f>
        <v>56472000</v>
      </c>
      <c r="M114" s="172">
        <f>+M65</f>
        <v>42354000</v>
      </c>
      <c r="N114" s="172">
        <f>+N65</f>
        <v>28236000</v>
      </c>
      <c r="O114" s="172">
        <f>+O65</f>
        <v>14118000</v>
      </c>
      <c r="Q114" s="199"/>
      <c r="R114" s="199"/>
      <c r="S114" s="199"/>
      <c r="T114" s="199"/>
    </row>
    <row r="115" spans="5:20" s="205" customFormat="1" x14ac:dyDescent="0.25">
      <c r="I115" s="205" t="s">
        <v>232</v>
      </c>
      <c r="J115" s="221"/>
      <c r="K115" s="172">
        <f>+K111-K112-K113-K114</f>
        <v>4586685900.7965412</v>
      </c>
      <c r="L115" s="172">
        <f>+L111-L112-L113-L114</f>
        <v>5484767231.3498507</v>
      </c>
      <c r="M115" s="172">
        <f>+M111-M112-M113-M114</f>
        <v>6382599253.5162048</v>
      </c>
      <c r="N115" s="172">
        <f>+N111-N112-N113-N114</f>
        <v>7280175285.8308353</v>
      </c>
      <c r="O115" s="172">
        <f>+O111-O112-O113-O114</f>
        <v>8177488467.7657156</v>
      </c>
      <c r="Q115" s="199"/>
      <c r="R115" s="199"/>
      <c r="S115" s="199"/>
      <c r="T115" s="199"/>
    </row>
    <row r="116" spans="5:20" s="205" customFormat="1" x14ac:dyDescent="0.25">
      <c r="K116" s="153"/>
      <c r="L116" s="153"/>
      <c r="M116" s="153"/>
      <c r="N116" s="153"/>
      <c r="O116" s="153"/>
      <c r="Q116" s="199"/>
      <c r="R116" s="199"/>
      <c r="S116" s="199"/>
      <c r="T116" s="199"/>
    </row>
    <row r="117" spans="5:20" s="205" customFormat="1" x14ac:dyDescent="0.25">
      <c r="I117" s="205" t="s">
        <v>233</v>
      </c>
      <c r="J117" s="221"/>
      <c r="K117" s="172">
        <f>+K115*($B$110)</f>
        <v>1421872629.2469277</v>
      </c>
      <c r="L117" s="172">
        <f>+L115*($B$110)</f>
        <v>1700277841.7184536</v>
      </c>
      <c r="M117" s="172">
        <f>+M115*($B$110)</f>
        <v>1978605768.5900235</v>
      </c>
      <c r="N117" s="172">
        <f>+N115*($B$110)</f>
        <v>2256854338.6075587</v>
      </c>
      <c r="O117" s="172">
        <f>+O115*($B$110)</f>
        <v>2535021425.0073719</v>
      </c>
      <c r="Q117" s="199"/>
      <c r="R117" s="199"/>
      <c r="S117" s="199"/>
      <c r="T117" s="199"/>
    </row>
    <row r="118" spans="5:20" s="205" customFormat="1" x14ac:dyDescent="0.25">
      <c r="K118" s="153"/>
      <c r="L118" s="153"/>
      <c r="M118" s="153"/>
      <c r="N118" s="153"/>
      <c r="O118" s="153"/>
      <c r="Q118" s="199"/>
      <c r="R118" s="199"/>
      <c r="S118" s="199"/>
      <c r="T118" s="199"/>
    </row>
    <row r="119" spans="5:20" s="205" customFormat="1" x14ac:dyDescent="0.25">
      <c r="I119" s="205" t="s">
        <v>234</v>
      </c>
      <c r="K119" s="153">
        <f>+K115-K117</f>
        <v>3164813271.5496135</v>
      </c>
      <c r="L119" s="153">
        <f>+L115-L117</f>
        <v>3784489389.6313972</v>
      </c>
      <c r="M119" s="153">
        <f>+M115-M117</f>
        <v>4403993484.9261818</v>
      </c>
      <c r="N119" s="153">
        <f>+N115-N117</f>
        <v>5023320947.2232761</v>
      </c>
      <c r="O119" s="153">
        <f>+O115-O117</f>
        <v>5642467042.7583437</v>
      </c>
      <c r="Q119" s="199"/>
      <c r="R119" s="199"/>
      <c r="S119" s="199"/>
      <c r="T119" s="199"/>
    </row>
    <row r="120" spans="5:20" s="205" customFormat="1" x14ac:dyDescent="0.25">
      <c r="K120" s="153"/>
      <c r="L120" s="153"/>
      <c r="M120" s="153"/>
      <c r="N120" s="153"/>
      <c r="O120" s="153"/>
      <c r="Q120" s="199"/>
      <c r="R120" s="199"/>
      <c r="S120" s="199"/>
      <c r="T120" s="199"/>
    </row>
    <row r="121" spans="5:20" s="205" customFormat="1" x14ac:dyDescent="0.25">
      <c r="I121" s="205" t="s">
        <v>231</v>
      </c>
      <c r="K121" s="153">
        <f>+K113</f>
        <v>40900000</v>
      </c>
      <c r="L121" s="153">
        <f>+L113</f>
        <v>40900000</v>
      </c>
      <c r="M121" s="153">
        <f>+M113</f>
        <v>40900000</v>
      </c>
      <c r="N121" s="153">
        <f>+N113</f>
        <v>40900000</v>
      </c>
      <c r="O121" s="153">
        <f>+O113</f>
        <v>40900000</v>
      </c>
      <c r="Q121" s="199"/>
      <c r="R121" s="199"/>
      <c r="S121" s="199"/>
      <c r="T121" s="199"/>
    </row>
    <row r="122" spans="5:20" s="205" customFormat="1" x14ac:dyDescent="0.25">
      <c r="K122" s="153"/>
      <c r="L122" s="153"/>
      <c r="M122" s="153"/>
      <c r="N122" s="153"/>
      <c r="O122" s="153"/>
      <c r="Q122" s="199"/>
      <c r="R122" s="199"/>
      <c r="S122" s="199"/>
      <c r="T122" s="199"/>
    </row>
    <row r="123" spans="5:20" s="205" customFormat="1" x14ac:dyDescent="0.25">
      <c r="I123" s="205" t="s">
        <v>235</v>
      </c>
      <c r="K123" s="153">
        <f>+K66</f>
        <v>260000000</v>
      </c>
      <c r="L123" s="153">
        <f>+L66</f>
        <v>260000000</v>
      </c>
      <c r="M123" s="153">
        <f>+M66</f>
        <v>260000000</v>
      </c>
      <c r="N123" s="153">
        <f>+N66</f>
        <v>260000000</v>
      </c>
      <c r="O123" s="153">
        <f>+O66</f>
        <v>260000000</v>
      </c>
      <c r="Q123" s="199"/>
      <c r="R123" s="199"/>
      <c r="S123" s="199"/>
      <c r="T123" s="199"/>
    </row>
    <row r="124" spans="5:20" s="205" customFormat="1" x14ac:dyDescent="0.25">
      <c r="K124" s="153"/>
      <c r="L124" s="153"/>
      <c r="M124" s="153"/>
      <c r="N124" s="153"/>
      <c r="O124" s="153"/>
      <c r="Q124" s="199"/>
      <c r="R124" s="199"/>
      <c r="S124" s="199"/>
      <c r="T124" s="199"/>
    </row>
    <row r="125" spans="5:20" s="205" customFormat="1" x14ac:dyDescent="0.25">
      <c r="I125" s="205" t="s">
        <v>236</v>
      </c>
      <c r="K125" s="153">
        <f>+K119+K121-K123</f>
        <v>2945713271.5496135</v>
      </c>
      <c r="L125" s="153">
        <f>+L119+L121-L123</f>
        <v>3565389389.6313972</v>
      </c>
      <c r="M125" s="153">
        <f>+M119+M121-M123</f>
        <v>4184893484.9261818</v>
      </c>
      <c r="N125" s="153">
        <f>+N119+N121-N123</f>
        <v>4804220947.2232761</v>
      </c>
      <c r="O125" s="153">
        <f>+O119+O121-O123</f>
        <v>5423367042.7583437</v>
      </c>
      <c r="Q125" s="199"/>
      <c r="R125" s="199"/>
      <c r="S125" s="199"/>
      <c r="T125" s="199"/>
    </row>
    <row r="126" spans="5:20" s="205" customFormat="1" x14ac:dyDescent="0.25">
      <c r="Q126" s="199"/>
      <c r="R126" s="199"/>
      <c r="S126" s="199"/>
      <c r="T126" s="199"/>
    </row>
    <row r="127" spans="5:20" s="205" customFormat="1" x14ac:dyDescent="0.25">
      <c r="Q127" s="199"/>
      <c r="R127" s="199"/>
      <c r="S127" s="199"/>
      <c r="T127" s="199"/>
    </row>
    <row r="128" spans="5:20" s="205" customFormat="1" x14ac:dyDescent="0.25">
      <c r="E128" s="224"/>
      <c r="Q128" s="199"/>
      <c r="R128" s="199"/>
      <c r="S128" s="199"/>
      <c r="T128" s="199"/>
    </row>
    <row r="129" spans="9:20" s="205" customFormat="1" x14ac:dyDescent="0.25">
      <c r="I129" s="205" t="s">
        <v>237</v>
      </c>
      <c r="Q129" s="199"/>
      <c r="R129" s="199"/>
      <c r="S129" s="199"/>
      <c r="T129" s="199"/>
    </row>
    <row r="130" spans="9:20" s="205" customFormat="1" x14ac:dyDescent="0.25">
      <c r="Q130" s="199"/>
      <c r="R130" s="199"/>
      <c r="S130" s="199"/>
      <c r="T130" s="199"/>
    </row>
    <row r="131" spans="9:20" s="205" customFormat="1" x14ac:dyDescent="0.25">
      <c r="I131" s="248"/>
      <c r="J131" s="247">
        <v>2020</v>
      </c>
      <c r="K131" s="247">
        <v>2021</v>
      </c>
      <c r="L131" s="247">
        <v>2022</v>
      </c>
      <c r="M131" s="247">
        <v>2023</v>
      </c>
      <c r="N131" s="247">
        <v>2024</v>
      </c>
      <c r="O131" s="247">
        <v>2025</v>
      </c>
      <c r="Q131" s="199"/>
      <c r="R131" s="199"/>
      <c r="S131" s="199"/>
      <c r="T131" s="199"/>
    </row>
    <row r="132" spans="9:20" s="205" customFormat="1" x14ac:dyDescent="0.25">
      <c r="I132" s="205" t="s">
        <v>238</v>
      </c>
      <c r="J132" s="153">
        <f>+B40+B41+B39+B42</f>
        <v>460000000</v>
      </c>
      <c r="K132" s="153"/>
      <c r="L132" s="153"/>
      <c r="M132" s="153"/>
      <c r="N132" s="153"/>
      <c r="O132" s="153"/>
      <c r="Q132" s="199"/>
      <c r="R132" s="199"/>
      <c r="S132" s="199"/>
      <c r="T132" s="199"/>
    </row>
    <row r="133" spans="9:20" s="205" customFormat="1" x14ac:dyDescent="0.25">
      <c r="I133" s="205" t="s">
        <v>239</v>
      </c>
      <c r="J133" s="153">
        <f>+SUM(J103:O103)</f>
        <v>1098661732.6659863</v>
      </c>
      <c r="K133" s="153">
        <f>+K104</f>
        <v>5581531.0511999726</v>
      </c>
      <c r="L133" s="153">
        <f>+L104</f>
        <v>5731116.0833721757</v>
      </c>
      <c r="M133" s="153">
        <f>+M104</f>
        <v>5884709.9944065213</v>
      </c>
      <c r="N133" s="153">
        <f>+N104</f>
        <v>6042420.2222566307</v>
      </c>
      <c r="O133" s="153">
        <f>+O104</f>
        <v>0</v>
      </c>
      <c r="Q133" s="199"/>
      <c r="R133" s="199"/>
      <c r="S133" s="199"/>
      <c r="T133" s="199"/>
    </row>
    <row r="134" spans="9:20" s="205" customFormat="1" x14ac:dyDescent="0.25">
      <c r="I134" s="205" t="s">
        <v>240</v>
      </c>
      <c r="J134" s="153">
        <f>+B50+B58</f>
        <v>1300000000</v>
      </c>
      <c r="K134" s="153"/>
      <c r="L134" s="153"/>
      <c r="M134" s="153"/>
      <c r="N134" s="153"/>
      <c r="O134" s="153"/>
      <c r="Q134" s="199"/>
      <c r="R134" s="199"/>
      <c r="S134" s="199"/>
      <c r="T134" s="199"/>
    </row>
    <row r="135" spans="9:20" s="205" customFormat="1" x14ac:dyDescent="0.25">
      <c r="J135" s="189">
        <f>SUM(J132:J134)</f>
        <v>2858661732.6659861</v>
      </c>
      <c r="K135" s="153"/>
      <c r="L135" s="153"/>
      <c r="M135" s="153"/>
      <c r="N135" s="153"/>
      <c r="O135" s="153"/>
      <c r="Q135" s="199"/>
      <c r="R135" s="199"/>
      <c r="S135" s="199"/>
      <c r="T135" s="199"/>
    </row>
    <row r="136" spans="9:20" s="205" customFormat="1" x14ac:dyDescent="0.25">
      <c r="I136" s="205" t="s">
        <v>241</v>
      </c>
      <c r="J136" s="153">
        <f t="shared" ref="J136:O136" si="6">+J132+J133-J134</f>
        <v>258661732.6659863</v>
      </c>
      <c r="K136" s="153">
        <f t="shared" si="6"/>
        <v>5581531.0511999726</v>
      </c>
      <c r="L136" s="153">
        <f t="shared" si="6"/>
        <v>5731116.0833721757</v>
      </c>
      <c r="M136" s="153">
        <f t="shared" si="6"/>
        <v>5884709.9944065213</v>
      </c>
      <c r="N136" s="153">
        <f t="shared" si="6"/>
        <v>6042420.2222566307</v>
      </c>
      <c r="O136" s="153">
        <f t="shared" si="6"/>
        <v>0</v>
      </c>
      <c r="Q136" s="199"/>
      <c r="R136" s="199"/>
      <c r="S136" s="199"/>
      <c r="T136" s="199"/>
    </row>
    <row r="137" spans="9:20" s="205" customFormat="1" x14ac:dyDescent="0.25">
      <c r="Q137" s="199"/>
      <c r="R137" s="199"/>
      <c r="S137" s="199"/>
      <c r="T137" s="199"/>
    </row>
    <row r="138" spans="9:20" s="205" customFormat="1" x14ac:dyDescent="0.25">
      <c r="Q138" s="199"/>
      <c r="R138" s="199"/>
      <c r="S138" s="199"/>
      <c r="T138" s="199"/>
    </row>
    <row r="139" spans="9:20" s="205" customFormat="1" x14ac:dyDescent="0.25">
      <c r="I139" s="205" t="s">
        <v>242</v>
      </c>
      <c r="Q139" s="199"/>
      <c r="R139" s="199"/>
      <c r="S139" s="199"/>
      <c r="T139" s="199"/>
    </row>
    <row r="140" spans="9:20" s="205" customFormat="1" x14ac:dyDescent="0.25">
      <c r="Q140" s="199"/>
      <c r="R140" s="199"/>
      <c r="S140" s="199"/>
      <c r="T140" s="199"/>
    </row>
    <row r="141" spans="9:20" s="205" customFormat="1" x14ac:dyDescent="0.25">
      <c r="I141" s="248"/>
      <c r="J141" s="247">
        <v>2020</v>
      </c>
      <c r="K141" s="247">
        <v>2021</v>
      </c>
      <c r="L141" s="247">
        <v>2022</v>
      </c>
      <c r="M141" s="247">
        <v>2023</v>
      </c>
      <c r="N141" s="247">
        <v>2024</v>
      </c>
      <c r="O141" s="247">
        <v>2025</v>
      </c>
      <c r="Q141" s="199"/>
      <c r="R141" s="199"/>
      <c r="S141" s="199"/>
      <c r="T141" s="199"/>
    </row>
    <row r="142" spans="9:20" s="205" customFormat="1" x14ac:dyDescent="0.25">
      <c r="I142" s="205" t="s">
        <v>236</v>
      </c>
      <c r="J142" s="153">
        <f t="shared" ref="J142:O142" si="7">+J125</f>
        <v>0</v>
      </c>
      <c r="K142" s="153">
        <f t="shared" si="7"/>
        <v>2945713271.5496135</v>
      </c>
      <c r="L142" s="153">
        <f t="shared" si="7"/>
        <v>3565389389.6313972</v>
      </c>
      <c r="M142" s="153">
        <f t="shared" si="7"/>
        <v>4184893484.9261818</v>
      </c>
      <c r="N142" s="153">
        <f t="shared" si="7"/>
        <v>4804220947.2232761</v>
      </c>
      <c r="O142" s="153">
        <f t="shared" si="7"/>
        <v>5423367042.7583437</v>
      </c>
      <c r="Q142" s="199"/>
      <c r="R142" s="199"/>
      <c r="S142" s="199"/>
      <c r="T142" s="199"/>
    </row>
    <row r="143" spans="9:20" s="205" customFormat="1" x14ac:dyDescent="0.25">
      <c r="I143" s="205" t="s">
        <v>243</v>
      </c>
      <c r="J143" s="153">
        <f t="shared" ref="J143:O143" si="8">+J136</f>
        <v>258661732.6659863</v>
      </c>
      <c r="K143" s="153">
        <f t="shared" si="8"/>
        <v>5581531.0511999726</v>
      </c>
      <c r="L143" s="153">
        <f t="shared" si="8"/>
        <v>5731116.0833721757</v>
      </c>
      <c r="M143" s="153">
        <f t="shared" si="8"/>
        <v>5884709.9944065213</v>
      </c>
      <c r="N143" s="153">
        <f t="shared" si="8"/>
        <v>6042420.2222566307</v>
      </c>
      <c r="O143" s="153">
        <f t="shared" si="8"/>
        <v>0</v>
      </c>
      <c r="Q143" s="199"/>
      <c r="R143" s="199"/>
      <c r="S143" s="199"/>
      <c r="T143" s="199"/>
    </row>
    <row r="144" spans="9:20" s="205" customFormat="1" x14ac:dyDescent="0.25">
      <c r="I144" s="248" t="s">
        <v>242</v>
      </c>
      <c r="J144" s="158">
        <f t="shared" ref="J144:O144" si="9">+J142-J143</f>
        <v>-258661732.6659863</v>
      </c>
      <c r="K144" s="158">
        <f t="shared" si="9"/>
        <v>2940131740.4984136</v>
      </c>
      <c r="L144" s="158">
        <f t="shared" si="9"/>
        <v>3559658273.5480251</v>
      </c>
      <c r="M144" s="158">
        <f t="shared" si="9"/>
        <v>4179008774.9317751</v>
      </c>
      <c r="N144" s="158">
        <f t="shared" si="9"/>
        <v>4798178527.0010195</v>
      </c>
      <c r="O144" s="158">
        <f t="shared" si="9"/>
        <v>5423367042.7583437</v>
      </c>
      <c r="Q144" s="199"/>
      <c r="R144" s="199"/>
      <c r="S144" s="199"/>
      <c r="T144" s="199"/>
    </row>
    <row r="145" spans="9:20" s="205" customFormat="1" x14ac:dyDescent="0.25">
      <c r="Q145" s="199"/>
      <c r="R145" s="199"/>
      <c r="S145" s="199"/>
      <c r="T145" s="199"/>
    </row>
    <row r="146" spans="9:20" s="205" customFormat="1" x14ac:dyDescent="0.25">
      <c r="Q146" s="199"/>
      <c r="R146" s="199"/>
      <c r="S146" s="199"/>
      <c r="T146" s="199"/>
    </row>
    <row r="147" spans="9:20" s="205" customFormat="1" x14ac:dyDescent="0.25">
      <c r="Q147" s="199"/>
      <c r="R147" s="199"/>
      <c r="S147" s="199"/>
      <c r="T147" s="199"/>
    </row>
    <row r="148" spans="9:20" s="205" customFormat="1" x14ac:dyDescent="0.25">
      <c r="I148" s="205" t="s">
        <v>244</v>
      </c>
      <c r="Q148" s="199"/>
      <c r="R148" s="199"/>
      <c r="S148" s="199"/>
      <c r="T148" s="199"/>
    </row>
    <row r="149" spans="9:20" s="205" customFormat="1" x14ac:dyDescent="0.25">
      <c r="Q149" s="199"/>
      <c r="R149" s="199"/>
      <c r="S149" s="199"/>
      <c r="T149" s="199"/>
    </row>
    <row r="150" spans="9:20" s="205" customFormat="1" x14ac:dyDescent="0.25">
      <c r="I150" s="248"/>
      <c r="J150" s="247">
        <v>2020</v>
      </c>
      <c r="K150" s="247">
        <v>2021</v>
      </c>
      <c r="L150" s="247">
        <v>2022</v>
      </c>
      <c r="M150" s="247">
        <v>2023</v>
      </c>
      <c r="N150" s="247">
        <v>2024</v>
      </c>
      <c r="O150" s="247">
        <v>2025</v>
      </c>
      <c r="Q150" s="199"/>
      <c r="R150" s="199"/>
      <c r="S150" s="199"/>
      <c r="T150" s="199"/>
    </row>
    <row r="151" spans="9:20" s="205" customFormat="1" x14ac:dyDescent="0.25">
      <c r="I151" s="205" t="s">
        <v>245</v>
      </c>
      <c r="J151" s="172">
        <f t="shared" ref="J151:O151" si="10">+J144</f>
        <v>-258661732.6659863</v>
      </c>
      <c r="K151" s="172">
        <f t="shared" si="10"/>
        <v>2940131740.4984136</v>
      </c>
      <c r="L151" s="172">
        <f t="shared" si="10"/>
        <v>3559658273.5480251</v>
      </c>
      <c r="M151" s="172">
        <f t="shared" si="10"/>
        <v>4179008774.9317751</v>
      </c>
      <c r="N151" s="172">
        <f t="shared" si="10"/>
        <v>4798178527.0010195</v>
      </c>
      <c r="O151" s="172">
        <f t="shared" si="10"/>
        <v>5423367042.7583437</v>
      </c>
      <c r="Q151" s="199"/>
      <c r="R151" s="199"/>
      <c r="S151" s="199"/>
      <c r="T151" s="199"/>
    </row>
    <row r="152" spans="9:20" s="205" customFormat="1" x14ac:dyDescent="0.25">
      <c r="I152" s="205" t="s">
        <v>240</v>
      </c>
      <c r="J152" s="172">
        <f t="shared" ref="J152:O152" si="11">+J134</f>
        <v>1300000000</v>
      </c>
      <c r="K152" s="172">
        <f t="shared" si="11"/>
        <v>0</v>
      </c>
      <c r="L152" s="172">
        <f t="shared" si="11"/>
        <v>0</v>
      </c>
      <c r="M152" s="172">
        <f t="shared" si="11"/>
        <v>0</v>
      </c>
      <c r="N152" s="172">
        <f t="shared" si="11"/>
        <v>0</v>
      </c>
      <c r="O152" s="172">
        <f t="shared" si="11"/>
        <v>0</v>
      </c>
      <c r="Q152" s="199"/>
      <c r="R152" s="199"/>
      <c r="S152" s="199"/>
      <c r="T152" s="199"/>
    </row>
    <row r="153" spans="9:20" s="205" customFormat="1" x14ac:dyDescent="0.25">
      <c r="I153" s="205" t="s">
        <v>200</v>
      </c>
      <c r="J153" s="172">
        <f t="shared" ref="J153:O153" si="12">+J114</f>
        <v>0</v>
      </c>
      <c r="K153" s="172">
        <f t="shared" si="12"/>
        <v>70590000</v>
      </c>
      <c r="L153" s="172">
        <f t="shared" si="12"/>
        <v>56472000</v>
      </c>
      <c r="M153" s="172">
        <f t="shared" si="12"/>
        <v>42354000</v>
      </c>
      <c r="N153" s="172">
        <f t="shared" si="12"/>
        <v>28236000</v>
      </c>
      <c r="O153" s="172">
        <f t="shared" si="12"/>
        <v>14118000</v>
      </c>
      <c r="Q153" s="199"/>
      <c r="R153" s="199"/>
      <c r="S153" s="199"/>
      <c r="T153" s="199"/>
    </row>
    <row r="154" spans="9:20" s="205" customFormat="1" x14ac:dyDescent="0.25">
      <c r="I154" s="205" t="s">
        <v>246</v>
      </c>
      <c r="J154" s="172">
        <f t="shared" ref="J154:O154" si="13">+J123</f>
        <v>0</v>
      </c>
      <c r="K154" s="172">
        <f t="shared" si="13"/>
        <v>260000000</v>
      </c>
      <c r="L154" s="172">
        <f t="shared" si="13"/>
        <v>260000000</v>
      </c>
      <c r="M154" s="172">
        <f t="shared" si="13"/>
        <v>260000000</v>
      </c>
      <c r="N154" s="172">
        <f t="shared" si="13"/>
        <v>260000000</v>
      </c>
      <c r="O154" s="172">
        <f t="shared" si="13"/>
        <v>260000000</v>
      </c>
      <c r="Q154" s="199"/>
      <c r="R154" s="199"/>
      <c r="S154" s="199"/>
      <c r="T154" s="199"/>
    </row>
    <row r="155" spans="9:20" s="205" customFormat="1" x14ac:dyDescent="0.25">
      <c r="I155" s="205" t="s">
        <v>247</v>
      </c>
      <c r="J155" s="172">
        <f t="shared" ref="J155:O155" si="14">+J153*$B$110</f>
        <v>0</v>
      </c>
      <c r="K155" s="172">
        <f t="shared" si="14"/>
        <v>21882900</v>
      </c>
      <c r="L155" s="172">
        <f t="shared" si="14"/>
        <v>17506320</v>
      </c>
      <c r="M155" s="172">
        <f t="shared" si="14"/>
        <v>13129740</v>
      </c>
      <c r="N155" s="172">
        <f t="shared" si="14"/>
        <v>8753160</v>
      </c>
      <c r="O155" s="172">
        <f t="shared" si="14"/>
        <v>4376580</v>
      </c>
      <c r="Q155" s="199"/>
      <c r="R155" s="199"/>
      <c r="S155" s="199"/>
      <c r="T155" s="199"/>
    </row>
    <row r="156" spans="9:20" s="205" customFormat="1" x14ac:dyDescent="0.25">
      <c r="I156" s="248" t="s">
        <v>244</v>
      </c>
      <c r="J156" s="158">
        <f t="shared" ref="J156:O156" si="15">+J151-J152+J153+J154-J155</f>
        <v>-1558661732.6659863</v>
      </c>
      <c r="K156" s="158">
        <f t="shared" si="15"/>
        <v>3248838840.4984136</v>
      </c>
      <c r="L156" s="158">
        <f t="shared" si="15"/>
        <v>3858623953.5480251</v>
      </c>
      <c r="M156" s="158">
        <f t="shared" si="15"/>
        <v>4468233034.9317751</v>
      </c>
      <c r="N156" s="158">
        <f t="shared" si="15"/>
        <v>5077661367.0010195</v>
      </c>
      <c r="O156" s="158">
        <f t="shared" si="15"/>
        <v>5693108462.7583437</v>
      </c>
      <c r="P156" s="208"/>
      <c r="Q156" s="199"/>
      <c r="R156" s="199"/>
      <c r="S156" s="199"/>
      <c r="T156" s="199"/>
    </row>
    <row r="157" spans="9:20" s="205" customFormat="1" x14ac:dyDescent="0.25">
      <c r="Q157" s="199"/>
      <c r="R157" s="199"/>
      <c r="S157" s="199"/>
      <c r="T157" s="199"/>
    </row>
    <row r="158" spans="9:20" s="205" customFormat="1" x14ac:dyDescent="0.25">
      <c r="Q158" s="199"/>
      <c r="R158" s="199"/>
      <c r="S158" s="199"/>
      <c r="T158" s="199"/>
    </row>
    <row r="159" spans="9:20" s="205" customFormat="1" x14ac:dyDescent="0.25">
      <c r="Q159" s="199"/>
      <c r="R159" s="199"/>
      <c r="S159" s="199"/>
      <c r="T159" s="199"/>
    </row>
    <row r="160" spans="9:20" s="205" customFormat="1" x14ac:dyDescent="0.25">
      <c r="Q160" s="199"/>
      <c r="R160" s="199"/>
      <c r="S160" s="199"/>
      <c r="T160" s="199"/>
    </row>
    <row r="161" spans="5:20" s="205" customFormat="1" x14ac:dyDescent="0.25">
      <c r="I161" s="205" t="s">
        <v>248</v>
      </c>
      <c r="Q161" s="199"/>
      <c r="R161" s="199"/>
      <c r="S161" s="199"/>
      <c r="T161" s="199"/>
    </row>
    <row r="162" spans="5:20" s="205" customFormat="1" x14ac:dyDescent="0.25">
      <c r="I162" s="205" t="s">
        <v>249</v>
      </c>
      <c r="J162" s="205" t="s">
        <v>250</v>
      </c>
      <c r="K162" s="205" t="s">
        <v>251</v>
      </c>
      <c r="L162" s="205" t="s">
        <v>252</v>
      </c>
      <c r="M162" s="205" t="s">
        <v>253</v>
      </c>
      <c r="Q162" s="199"/>
      <c r="R162" s="199"/>
      <c r="S162" s="199"/>
      <c r="T162" s="199"/>
    </row>
    <row r="163" spans="5:20" s="205" customFormat="1" x14ac:dyDescent="0.25">
      <c r="I163" s="205" t="s">
        <v>254</v>
      </c>
      <c r="J163" s="153">
        <f>+J136</f>
        <v>258661732.6659863</v>
      </c>
      <c r="K163" s="231">
        <f>+J163/$J$165</f>
        <v>0.16595116646866204</v>
      </c>
      <c r="L163" s="232">
        <f>+B111</f>
        <v>0.2</v>
      </c>
      <c r="M163" s="231">
        <f>+K163*L163</f>
        <v>3.3190233293732406E-2</v>
      </c>
      <c r="Q163" s="199"/>
      <c r="R163" s="199"/>
      <c r="S163" s="199"/>
      <c r="T163" s="199"/>
    </row>
    <row r="164" spans="5:20" s="205" customFormat="1" x14ac:dyDescent="0.25">
      <c r="I164" s="205" t="s">
        <v>255</v>
      </c>
      <c r="J164" s="153">
        <f>+B58</f>
        <v>1300000000</v>
      </c>
      <c r="K164" s="231">
        <f>+J164/$J$165</f>
        <v>0.83404883353133796</v>
      </c>
      <c r="L164" s="232">
        <f>+B60*(1-B110)</f>
        <v>3.7467E-2</v>
      </c>
      <c r="M164" s="231">
        <f>+K164*L164</f>
        <v>3.1249307645918638E-2</v>
      </c>
      <c r="Q164" s="199"/>
      <c r="R164" s="199"/>
      <c r="S164" s="199"/>
      <c r="T164" s="199"/>
    </row>
    <row r="165" spans="5:20" s="205" customFormat="1" x14ac:dyDescent="0.25">
      <c r="I165" s="205" t="s">
        <v>256</v>
      </c>
      <c r="J165" s="153">
        <f>SUM(J163:J164)</f>
        <v>1558661732.6659863</v>
      </c>
      <c r="K165" s="230">
        <f>SUM(K163:K164)</f>
        <v>1</v>
      </c>
      <c r="M165" s="246">
        <f>SUM(M163:M164)</f>
        <v>6.4439540939651041E-2</v>
      </c>
      <c r="Q165" s="199"/>
      <c r="R165" s="199"/>
      <c r="S165" s="199"/>
      <c r="T165" s="199"/>
    </row>
    <row r="166" spans="5:20" s="205" customFormat="1" x14ac:dyDescent="0.25">
      <c r="Q166" s="199"/>
      <c r="R166" s="199"/>
      <c r="S166" s="199"/>
      <c r="T166" s="199"/>
    </row>
    <row r="167" spans="5:20" s="205" customFormat="1" x14ac:dyDescent="0.25">
      <c r="I167" s="205" t="s">
        <v>257</v>
      </c>
      <c r="Q167" s="199"/>
      <c r="R167" s="199"/>
      <c r="S167" s="199"/>
      <c r="T167" s="199"/>
    </row>
    <row r="168" spans="5:20" s="205" customFormat="1" x14ac:dyDescent="0.25">
      <c r="Q168" s="199"/>
      <c r="R168" s="199"/>
      <c r="S168" s="199"/>
      <c r="T168" s="199"/>
    </row>
    <row r="169" spans="5:20" s="205" customFormat="1" hidden="1" x14ac:dyDescent="0.25">
      <c r="I169" s="233" t="s">
        <v>258</v>
      </c>
      <c r="J169" s="233" t="s">
        <v>259</v>
      </c>
      <c r="Q169" s="199"/>
      <c r="R169" s="199"/>
      <c r="S169" s="199"/>
      <c r="T169" s="199"/>
    </row>
    <row r="170" spans="5:20" s="205" customFormat="1" hidden="1" x14ac:dyDescent="0.25">
      <c r="Q170" s="199"/>
      <c r="R170" s="199"/>
      <c r="S170" s="199"/>
      <c r="T170" s="199"/>
    </row>
    <row r="171" spans="5:20" s="205" customFormat="1" hidden="1" x14ac:dyDescent="0.25">
      <c r="I171" s="205" t="s">
        <v>260</v>
      </c>
      <c r="J171" s="208">
        <f>+(O144)*(1+B112)/(B111-B112)</f>
        <v>-7136009266.7872944</v>
      </c>
      <c r="Q171" s="199"/>
      <c r="R171" s="199"/>
      <c r="S171" s="199"/>
      <c r="T171" s="199"/>
    </row>
    <row r="172" spans="5:20" s="205" customFormat="1" hidden="1" x14ac:dyDescent="0.25">
      <c r="I172" s="205" t="s">
        <v>261</v>
      </c>
      <c r="J172" s="208">
        <f>+SUM(J133:O133)</f>
        <v>1121901510.0172215</v>
      </c>
      <c r="Q172" s="199"/>
      <c r="R172" s="199"/>
      <c r="S172" s="199"/>
      <c r="T172" s="199"/>
    </row>
    <row r="173" spans="5:20" s="205" customFormat="1" hidden="1" x14ac:dyDescent="0.25">
      <c r="I173" s="205" t="s">
        <v>262</v>
      </c>
      <c r="J173" s="208">
        <f>+O50+O58</f>
        <v>0</v>
      </c>
      <c r="Q173" s="199"/>
      <c r="R173" s="199"/>
      <c r="S173" s="199"/>
      <c r="T173" s="199"/>
    </row>
    <row r="174" spans="5:20" s="205" customFormat="1" hidden="1" x14ac:dyDescent="0.25">
      <c r="E174" s="205" t="s">
        <v>263</v>
      </c>
      <c r="I174" s="205" t="s">
        <v>257</v>
      </c>
      <c r="J174" s="208">
        <f>+J171+J172-J173</f>
        <v>-6014107756.7700729</v>
      </c>
      <c r="Q174" s="199"/>
      <c r="R174" s="199"/>
      <c r="S174" s="199"/>
      <c r="T174" s="199"/>
    </row>
    <row r="175" spans="5:20" s="205" customFormat="1" hidden="1" x14ac:dyDescent="0.25">
      <c r="E175" s="205" t="s">
        <v>264</v>
      </c>
      <c r="Q175" s="199"/>
      <c r="R175" s="199"/>
      <c r="S175" s="199"/>
      <c r="T175" s="199"/>
    </row>
    <row r="176" spans="5:20" s="205" customFormat="1" x14ac:dyDescent="0.25">
      <c r="Q176" s="199"/>
      <c r="R176" s="199"/>
      <c r="S176" s="199"/>
      <c r="T176" s="199"/>
    </row>
    <row r="177" spans="9:20" s="205" customFormat="1" x14ac:dyDescent="0.25">
      <c r="I177" s="248" t="s">
        <v>265</v>
      </c>
      <c r="J177" s="247">
        <v>2020</v>
      </c>
      <c r="K177" s="247">
        <v>2021</v>
      </c>
      <c r="L177" s="247">
        <v>2022</v>
      </c>
      <c r="M177" s="247">
        <v>2023</v>
      </c>
      <c r="N177" s="247">
        <v>2024</v>
      </c>
      <c r="O177" s="247">
        <v>2025</v>
      </c>
      <c r="Q177" s="199"/>
      <c r="R177" s="199"/>
      <c r="S177" s="199"/>
      <c r="T177" s="199"/>
    </row>
    <row r="178" spans="9:20" s="205" customFormat="1" x14ac:dyDescent="0.25">
      <c r="J178" s="153">
        <f>+J144</f>
        <v>-258661732.6659863</v>
      </c>
      <c r="K178" s="153">
        <f>+K144</f>
        <v>2940131740.4984136</v>
      </c>
      <c r="L178" s="153">
        <f>+L144</f>
        <v>3559658273.5480251</v>
      </c>
      <c r="M178" s="153">
        <f>+M144</f>
        <v>4179008774.9317751</v>
      </c>
      <c r="N178" s="153">
        <f>+N144</f>
        <v>4798178527.0010195</v>
      </c>
      <c r="O178" s="153">
        <f>+O144+J174</f>
        <v>-590740714.01172924</v>
      </c>
      <c r="Q178" s="199"/>
      <c r="R178" s="199"/>
      <c r="S178" s="199"/>
      <c r="T178" s="199"/>
    </row>
    <row r="179" spans="9:20" s="205" customFormat="1" x14ac:dyDescent="0.25">
      <c r="Q179" s="199"/>
      <c r="R179" s="199"/>
      <c r="S179" s="199"/>
      <c r="T179" s="199"/>
    </row>
    <row r="180" spans="9:20" s="205" customFormat="1" x14ac:dyDescent="0.25">
      <c r="I180" s="205" t="s">
        <v>266</v>
      </c>
      <c r="J180" s="230">
        <f>+B111</f>
        <v>0.2</v>
      </c>
      <c r="Q180" s="199"/>
      <c r="R180" s="199"/>
      <c r="S180" s="199"/>
      <c r="T180" s="199"/>
    </row>
    <row r="181" spans="9:20" s="205" customFormat="1" x14ac:dyDescent="0.25">
      <c r="I181" s="205" t="s">
        <v>267</v>
      </c>
      <c r="J181" s="153">
        <f>NPV(J180,K178:O178)+J178</f>
        <v>9158371779.1330376</v>
      </c>
      <c r="Q181" s="199"/>
      <c r="R181" s="199"/>
      <c r="S181" s="199"/>
      <c r="T181" s="199"/>
    </row>
    <row r="182" spans="9:20" s="205" customFormat="1" x14ac:dyDescent="0.25">
      <c r="I182" s="205" t="s">
        <v>268</v>
      </c>
      <c r="J182" s="153">
        <f>+J181*J180</f>
        <v>1831674355.8266077</v>
      </c>
      <c r="Q182" s="199"/>
      <c r="R182" s="199"/>
      <c r="S182" s="199"/>
      <c r="T182" s="199"/>
    </row>
    <row r="183" spans="9:20" s="205" customFormat="1" x14ac:dyDescent="0.25">
      <c r="I183" s="205" t="s">
        <v>269</v>
      </c>
      <c r="J183" s="234">
        <f>(J181-J178)/-J178</f>
        <v>36.406751840479544</v>
      </c>
      <c r="Q183" s="199"/>
      <c r="R183" s="199"/>
      <c r="S183" s="199"/>
      <c r="T183" s="199"/>
    </row>
    <row r="184" spans="9:20" s="205" customFormat="1" x14ac:dyDescent="0.25">
      <c r="I184" s="205" t="s">
        <v>270</v>
      </c>
      <c r="J184" s="232">
        <f>IRR(J178:O178)</f>
        <v>11.572732433460985</v>
      </c>
      <c r="Q184" s="199"/>
      <c r="R184" s="199"/>
      <c r="S184" s="199"/>
      <c r="T184" s="199"/>
    </row>
    <row r="185" spans="9:20" s="205" customFormat="1" x14ac:dyDescent="0.25">
      <c r="I185" s="205" t="s">
        <v>271</v>
      </c>
      <c r="J185" s="153">
        <f>MIRR(J178:O178,25,J180)</f>
        <v>1.4750284819831934</v>
      </c>
      <c r="Q185" s="199"/>
      <c r="R185" s="199"/>
      <c r="S185" s="199"/>
      <c r="T185" s="199"/>
    </row>
    <row r="186" spans="9:20" s="205" customFormat="1" hidden="1" x14ac:dyDescent="0.25">
      <c r="Q186" s="199"/>
      <c r="R186" s="199"/>
      <c r="S186" s="199"/>
      <c r="T186" s="199"/>
    </row>
    <row r="187" spans="9:20" s="205" customFormat="1" hidden="1" x14ac:dyDescent="0.25">
      <c r="Q187" s="199"/>
      <c r="R187" s="199"/>
      <c r="S187" s="199"/>
      <c r="T187" s="199"/>
    </row>
    <row r="188" spans="9:20" s="205" customFormat="1" hidden="1" x14ac:dyDescent="0.25">
      <c r="I188" s="233" t="s">
        <v>258</v>
      </c>
      <c r="J188" s="233" t="s">
        <v>272</v>
      </c>
      <c r="Q188" s="199"/>
      <c r="R188" s="199"/>
      <c r="S188" s="199"/>
      <c r="T188" s="199"/>
    </row>
    <row r="189" spans="9:20" s="205" customFormat="1" hidden="1" x14ac:dyDescent="0.25">
      <c r="Q189" s="199"/>
      <c r="R189" s="199"/>
      <c r="S189" s="199"/>
      <c r="T189" s="199"/>
    </row>
    <row r="190" spans="9:20" s="205" customFormat="1" hidden="1" x14ac:dyDescent="0.25">
      <c r="I190" s="205" t="s">
        <v>260</v>
      </c>
      <c r="J190" s="208">
        <f>+(O156*(1+B112))/(M165-B112)</f>
        <v>-7232906878.1700602</v>
      </c>
      <c r="Q190" s="199"/>
      <c r="R190" s="199"/>
      <c r="S190" s="199"/>
      <c r="T190" s="199"/>
    </row>
    <row r="191" spans="9:20" s="205" customFormat="1" hidden="1" x14ac:dyDescent="0.25">
      <c r="I191" s="205" t="s">
        <v>261</v>
      </c>
      <c r="J191" s="208">
        <f>+SUM(J133:O133)</f>
        <v>1121901510.0172215</v>
      </c>
      <c r="Q191" s="199"/>
      <c r="R191" s="199"/>
      <c r="S191" s="199"/>
      <c r="T191" s="199"/>
    </row>
    <row r="192" spans="9:20" s="205" customFormat="1" hidden="1" x14ac:dyDescent="0.25">
      <c r="I192" s="205" t="s">
        <v>257</v>
      </c>
      <c r="J192" s="208">
        <f>+J190+J191</f>
        <v>-6111005368.1528387</v>
      </c>
      <c r="Q192" s="199"/>
      <c r="R192" s="199"/>
      <c r="S192" s="199"/>
      <c r="T192" s="199"/>
    </row>
    <row r="193" spans="9:20" s="205" customFormat="1" x14ac:dyDescent="0.25">
      <c r="Q193" s="199"/>
      <c r="R193" s="199"/>
      <c r="S193" s="199"/>
      <c r="T193" s="199"/>
    </row>
    <row r="194" spans="9:20" s="205" customFormat="1" x14ac:dyDescent="0.25">
      <c r="Q194" s="199"/>
      <c r="R194" s="199"/>
      <c r="S194" s="199"/>
      <c r="T194" s="199"/>
    </row>
    <row r="195" spans="9:20" s="205" customFormat="1" x14ac:dyDescent="0.25">
      <c r="I195" s="248" t="s">
        <v>265</v>
      </c>
      <c r="J195" s="247">
        <v>2020</v>
      </c>
      <c r="K195" s="247">
        <v>2021</v>
      </c>
      <c r="L195" s="247">
        <v>2022</v>
      </c>
      <c r="M195" s="247">
        <v>2023</v>
      </c>
      <c r="N195" s="247">
        <v>2024</v>
      </c>
      <c r="O195" s="247">
        <v>2025</v>
      </c>
      <c r="Q195" s="199"/>
      <c r="R195" s="199"/>
      <c r="S195" s="199"/>
      <c r="T195" s="199"/>
    </row>
    <row r="196" spans="9:20" s="205" customFormat="1" x14ac:dyDescent="0.25">
      <c r="J196" s="153">
        <f>+J156</f>
        <v>-1558661732.6659863</v>
      </c>
      <c r="K196" s="153">
        <f>+K156</f>
        <v>3248838840.4984136</v>
      </c>
      <c r="L196" s="153">
        <f>+L156</f>
        <v>3858623953.5480251</v>
      </c>
      <c r="M196" s="153">
        <f>+M156</f>
        <v>4468233034.9317751</v>
      </c>
      <c r="N196" s="153">
        <f>+N156</f>
        <v>5077661367.0010195</v>
      </c>
      <c r="O196" s="153">
        <f>+O156+J192</f>
        <v>-417896905.39449501</v>
      </c>
      <c r="Q196" s="199"/>
      <c r="R196" s="199"/>
      <c r="S196" s="199"/>
      <c r="T196" s="199"/>
    </row>
    <row r="197" spans="9:20" s="205" customFormat="1" x14ac:dyDescent="0.25">
      <c r="Q197" s="199"/>
      <c r="R197" s="199"/>
      <c r="S197" s="199"/>
      <c r="T197" s="199"/>
    </row>
    <row r="198" spans="9:20" s="205" customFormat="1" x14ac:dyDescent="0.25">
      <c r="I198" s="205" t="s">
        <v>266</v>
      </c>
      <c r="J198" s="232">
        <f>+M165</f>
        <v>6.4439540939651041E-2</v>
      </c>
      <c r="Q198" s="199"/>
      <c r="R198" s="199"/>
      <c r="S198" s="199"/>
      <c r="T198" s="199"/>
    </row>
    <row r="199" spans="9:20" s="205" customFormat="1" x14ac:dyDescent="0.25">
      <c r="I199" s="205" t="s">
        <v>267</v>
      </c>
      <c r="J199" s="153">
        <f>NPV(J198,K196:O196)+J196</f>
        <v>12253425145.415159</v>
      </c>
      <c r="Q199" s="199"/>
      <c r="R199" s="199"/>
      <c r="S199" s="199"/>
      <c r="T199" s="199"/>
    </row>
    <row r="200" spans="9:20" s="205" customFormat="1" x14ac:dyDescent="0.25">
      <c r="I200" s="205" t="s">
        <v>268</v>
      </c>
      <c r="J200" s="153">
        <f>+J199*J198</f>
        <v>789605091.30892968</v>
      </c>
      <c r="Q200" s="199"/>
      <c r="R200" s="199"/>
      <c r="S200" s="199"/>
      <c r="T200" s="199"/>
    </row>
    <row r="201" spans="9:20" s="205" customFormat="1" x14ac:dyDescent="0.25">
      <c r="I201" s="205" t="s">
        <v>269</v>
      </c>
      <c r="J201" s="234">
        <f>+(J199-J196)/-J196</f>
        <v>8.8615038071515997</v>
      </c>
      <c r="Q201" s="199"/>
      <c r="R201" s="199"/>
      <c r="S201" s="199"/>
      <c r="T201" s="199"/>
    </row>
    <row r="202" spans="9:20" s="205" customFormat="1" hidden="1" x14ac:dyDescent="0.25">
      <c r="I202" s="205" t="s">
        <v>270</v>
      </c>
      <c r="J202" s="232">
        <f>IRR(J196:O196)</f>
        <v>2.2231815776278121</v>
      </c>
      <c r="Q202" s="199"/>
      <c r="R202" s="199"/>
      <c r="S202" s="199"/>
      <c r="T202" s="199"/>
    </row>
    <row r="203" spans="9:20" s="205" customFormat="1" x14ac:dyDescent="0.25">
      <c r="I203" s="205" t="s">
        <v>271</v>
      </c>
      <c r="J203" s="232">
        <f>MIRR(J196:O196,25,J198)</f>
        <v>0.65395876365756433</v>
      </c>
      <c r="Q203" s="199"/>
      <c r="R203" s="199"/>
      <c r="S203" s="199"/>
      <c r="T203" s="199"/>
    </row>
    <row r="204" spans="9:20" s="205" customFormat="1" x14ac:dyDescent="0.25">
      <c r="Q204" s="199"/>
      <c r="R204" s="199"/>
      <c r="S204" s="199"/>
      <c r="T204" s="199"/>
    </row>
    <row r="205" spans="9:20" s="205" customFormat="1" x14ac:dyDescent="0.25">
      <c r="Q205" s="199"/>
      <c r="R205" s="199"/>
      <c r="S205" s="199"/>
      <c r="T205" s="199"/>
    </row>
    <row r="206" spans="9:20" s="205" customFormat="1" x14ac:dyDescent="0.25">
      <c r="Q206" s="199"/>
      <c r="R206" s="199"/>
      <c r="S206" s="199"/>
      <c r="T206" s="199"/>
    </row>
  </sheetData>
  <mergeCells count="8">
    <mergeCell ref="A91:G91"/>
    <mergeCell ref="A102:G102"/>
    <mergeCell ref="A35:G35"/>
    <mergeCell ref="A37:G37"/>
    <mergeCell ref="A46:G46"/>
    <mergeCell ref="A56:G56"/>
    <mergeCell ref="A68:G68"/>
    <mergeCell ref="A80:G80"/>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Menú</vt:lpstr>
      <vt:lpstr>BALANCE</vt:lpstr>
      <vt:lpstr>PYG</vt:lpstr>
      <vt:lpstr>CASH FLOW</vt:lpstr>
      <vt:lpstr>MODELO SIN ESTRATEGIA </vt:lpstr>
      <vt:lpstr>Ciclos</vt:lpstr>
      <vt:lpstr>FCL ESTRATEGIA 1</vt:lpstr>
      <vt:lpstr>MODELO CON ESTRATEGIA 1</vt:lpstr>
      <vt:lpstr>FCL ESTRATEGIA 2</vt:lpstr>
      <vt:lpstr>MODELO CON ESTRATEGIA 2</vt:lpstr>
      <vt:lpstr>RESULTADOS</vt:lpstr>
      <vt:lpstr>Modelos Econometricos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Gomez</dc:creator>
  <cp:lastModifiedBy>Erika Gomez</cp:lastModifiedBy>
  <dcterms:created xsi:type="dcterms:W3CDTF">2021-08-07T02:43:09Z</dcterms:created>
  <dcterms:modified xsi:type="dcterms:W3CDTF">2021-11-26T03:35:51Z</dcterms:modified>
</cp:coreProperties>
</file>