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belcorpbiz-my.sharepoint.com/personal/comcontreras_belcorp_biz/Documents/Desktop/Trabajo de grado/"/>
    </mc:Choice>
  </mc:AlternateContent>
  <bookViews>
    <workbookView xWindow="0" yWindow="0" windowWidth="20430" windowHeight="7560" tabRatio="778" activeTab="5"/>
  </bookViews>
  <sheets>
    <sheet name="Cifras Historicas" sheetId="1" r:id="rId1"/>
    <sheet name="Analisis Financiero" sheetId="2" r:id="rId2"/>
    <sheet name="Valoración Sin Estrategia" sheetId="5" r:id="rId3"/>
    <sheet name="Estrategias Operativas" sheetId="6" r:id="rId4"/>
    <sheet name="Estados Finan + Estrategia" sheetId="10" r:id="rId5"/>
    <sheet name="Valoración + Estrategia" sheetId="9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7" i="9" l="1"/>
  <c r="P78" i="1" l="1"/>
  <c r="P77" i="1"/>
  <c r="P76" i="1"/>
  <c r="P74" i="1"/>
  <c r="P73" i="1"/>
  <c r="P72" i="1"/>
  <c r="P70" i="1"/>
  <c r="P69" i="1"/>
  <c r="P68" i="1"/>
  <c r="P67" i="1"/>
  <c r="P66" i="1"/>
  <c r="H180" i="9" l="1"/>
  <c r="G180" i="9"/>
  <c r="H179" i="9"/>
  <c r="G179" i="9"/>
  <c r="H178" i="9"/>
  <c r="G178" i="9"/>
  <c r="H177" i="9"/>
  <c r="G177" i="9"/>
  <c r="H175" i="9"/>
  <c r="G175" i="9"/>
  <c r="H172" i="9"/>
  <c r="G172" i="9"/>
  <c r="H171" i="9"/>
  <c r="G171" i="9"/>
  <c r="H170" i="9"/>
  <c r="G170" i="9"/>
  <c r="H169" i="9"/>
  <c r="H167" i="9"/>
  <c r="G167" i="9"/>
  <c r="G169" i="9" s="1"/>
  <c r="G173" i="9" s="1"/>
  <c r="L154" i="9"/>
  <c r="P86" i="10"/>
  <c r="O86" i="10"/>
  <c r="P38" i="10"/>
  <c r="K74" i="2"/>
  <c r="H173" i="9" l="1"/>
  <c r="G116" i="9" l="1"/>
  <c r="AC15" i="10"/>
  <c r="AC16" i="10" s="1"/>
  <c r="K34" i="6"/>
  <c r="J33" i="6"/>
  <c r="P24" i="10"/>
  <c r="O24" i="10"/>
  <c r="P104" i="10"/>
  <c r="P103" i="10"/>
  <c r="P83" i="10"/>
  <c r="P102" i="10" s="1"/>
  <c r="P72" i="10"/>
  <c r="L153" i="9"/>
  <c r="L159" i="9" s="1"/>
  <c r="L128" i="9"/>
  <c r="L138" i="9" s="1"/>
  <c r="L96" i="9"/>
  <c r="L64" i="9"/>
  <c r="L156" i="9" s="1"/>
  <c r="L63" i="9"/>
  <c r="L155" i="9" s="1"/>
  <c r="L54" i="9"/>
  <c r="L32" i="9"/>
  <c r="J31" i="6"/>
  <c r="J15" i="6"/>
  <c r="J20" i="6"/>
  <c r="J25" i="6" s="1"/>
  <c r="K11" i="6"/>
  <c r="J10" i="6"/>
  <c r="L64" i="5"/>
  <c r="L63" i="5"/>
  <c r="K64" i="5"/>
  <c r="K63" i="5"/>
  <c r="L54" i="5"/>
  <c r="L159" i="5"/>
  <c r="L156" i="5"/>
  <c r="L155" i="5"/>
  <c r="Q103" i="2"/>
  <c r="P103" i="2"/>
  <c r="L75" i="2"/>
  <c r="M75" i="2" s="1"/>
  <c r="N75" i="2" s="1"/>
  <c r="O75" i="2" s="1"/>
  <c r="P75" i="2" s="1"/>
  <c r="Q75" i="2" s="1"/>
  <c r="L73" i="2"/>
  <c r="M73" i="2" s="1"/>
  <c r="N73" i="2" s="1"/>
  <c r="O73" i="2" s="1"/>
  <c r="P73" i="2" s="1"/>
  <c r="Q73" i="2" s="1"/>
  <c r="Q28" i="2"/>
  <c r="Q27" i="2"/>
  <c r="P28" i="2"/>
  <c r="P29" i="2" s="1"/>
  <c r="I32" i="6" s="1"/>
  <c r="P38" i="2"/>
  <c r="P83" i="2" s="1"/>
  <c r="P102" i="2" s="1"/>
  <c r="M62" i="1" l="1"/>
  <c r="J104" i="10" l="1"/>
  <c r="I104" i="10"/>
  <c r="H104" i="10"/>
  <c r="G104" i="10"/>
  <c r="F104" i="10"/>
  <c r="J103" i="10"/>
  <c r="I103" i="10"/>
  <c r="H103" i="10"/>
  <c r="G103" i="10"/>
  <c r="F103" i="10"/>
  <c r="K191" i="5" l="1"/>
  <c r="K190" i="5"/>
  <c r="K189" i="5"/>
  <c r="K188" i="5"/>
  <c r="K104" i="2"/>
  <c r="J104" i="2"/>
  <c r="I104" i="2"/>
  <c r="H104" i="2"/>
  <c r="G104" i="2"/>
  <c r="K103" i="2"/>
  <c r="J103" i="2"/>
  <c r="I103" i="2"/>
  <c r="H103" i="2"/>
  <c r="G103" i="2"/>
  <c r="A19" i="10"/>
  <c r="A35" i="10" s="1"/>
  <c r="B19" i="2" l="1"/>
  <c r="B35" i="2" s="1"/>
  <c r="J203" i="9"/>
  <c r="J202" i="9"/>
  <c r="J201" i="9"/>
  <c r="G118" i="9"/>
  <c r="G20" i="9"/>
  <c r="G17" i="9"/>
  <c r="G14" i="9"/>
  <c r="G11" i="9"/>
  <c r="G21" i="9" s="1"/>
  <c r="G10" i="9"/>
  <c r="G12" i="9" s="1"/>
  <c r="G15" i="9" l="1"/>
  <c r="G24" i="9"/>
  <c r="G22" i="9"/>
  <c r="F94" i="10"/>
  <c r="G94" i="2"/>
  <c r="F89" i="10"/>
  <c r="G89" i="2"/>
  <c r="F85" i="10"/>
  <c r="G85" i="2"/>
  <c r="F92" i="10"/>
  <c r="G92" i="2"/>
  <c r="F88" i="10"/>
  <c r="G88" i="2"/>
  <c r="F97" i="10"/>
  <c r="G97" i="2"/>
  <c r="F86" i="10"/>
  <c r="G86" i="2"/>
  <c r="F93" i="10"/>
  <c r="G93" i="2"/>
  <c r="J88" i="10"/>
  <c r="K88" i="2"/>
  <c r="J94" i="10"/>
  <c r="K94" i="2"/>
  <c r="J89" i="10"/>
  <c r="K89" i="2"/>
  <c r="J97" i="10"/>
  <c r="K97" i="2"/>
  <c r="J85" i="10"/>
  <c r="K85" i="2"/>
  <c r="J92" i="10"/>
  <c r="K92" i="2"/>
  <c r="J86" i="10"/>
  <c r="K86" i="2"/>
  <c r="J93" i="10"/>
  <c r="K93" i="2"/>
  <c r="I97" i="10"/>
  <c r="J97" i="2"/>
  <c r="I92" i="10"/>
  <c r="J92" i="2"/>
  <c r="I86" i="10"/>
  <c r="J86" i="2"/>
  <c r="I93" i="10"/>
  <c r="J93" i="2"/>
  <c r="I89" i="10"/>
  <c r="J89" i="2"/>
  <c r="I85" i="10"/>
  <c r="J85" i="2"/>
  <c r="I88" i="10"/>
  <c r="J88" i="2"/>
  <c r="I94" i="10"/>
  <c r="J94" i="2"/>
  <c r="H85" i="10"/>
  <c r="I85" i="2"/>
  <c r="H92" i="10"/>
  <c r="I92" i="2"/>
  <c r="H86" i="10"/>
  <c r="I86" i="2"/>
  <c r="H93" i="10"/>
  <c r="I93" i="2"/>
  <c r="H88" i="10"/>
  <c r="I88" i="2"/>
  <c r="H94" i="10"/>
  <c r="I94" i="2"/>
  <c r="H89" i="10"/>
  <c r="I89" i="2"/>
  <c r="H97" i="10"/>
  <c r="I97" i="2"/>
  <c r="G86" i="10"/>
  <c r="H86" i="2"/>
  <c r="G93" i="10"/>
  <c r="H93" i="2"/>
  <c r="G88" i="10"/>
  <c r="H88" i="2"/>
  <c r="G94" i="10"/>
  <c r="H94" i="2"/>
  <c r="G89" i="10"/>
  <c r="H89" i="2"/>
  <c r="G97" i="10"/>
  <c r="H97" i="2"/>
  <c r="G85" i="10"/>
  <c r="H85" i="2"/>
  <c r="G92" i="10"/>
  <c r="H92" i="2"/>
  <c r="G25" i="9"/>
  <c r="G27" i="9" s="1"/>
  <c r="K104" i="10" l="1"/>
  <c r="G64" i="9" s="1"/>
  <c r="G156" i="9" s="1"/>
  <c r="K103" i="10"/>
  <c r="G63" i="9" s="1"/>
  <c r="G155" i="9" s="1"/>
  <c r="J26" i="10"/>
  <c r="I26" i="10"/>
  <c r="H26" i="10"/>
  <c r="G26" i="10"/>
  <c r="F26" i="10"/>
  <c r="J25" i="10"/>
  <c r="I25" i="10"/>
  <c r="H25" i="10"/>
  <c r="G25" i="10"/>
  <c r="F25" i="10"/>
  <c r="K21" i="6"/>
  <c r="K16" i="6"/>
  <c r="L103" i="10" l="1"/>
  <c r="H63" i="9" s="1"/>
  <c r="H155" i="9" s="1"/>
  <c r="M103" i="10"/>
  <c r="I63" i="9" s="1"/>
  <c r="I155" i="9" s="1"/>
  <c r="L104" i="10"/>
  <c r="G177" i="5"/>
  <c r="J82" i="5"/>
  <c r="I82" i="5"/>
  <c r="G20" i="5"/>
  <c r="G17" i="5"/>
  <c r="G14" i="5"/>
  <c r="G24" i="5" s="1"/>
  <c r="G11" i="5"/>
  <c r="G10" i="5"/>
  <c r="L104" i="2"/>
  <c r="L103" i="2"/>
  <c r="Y28" i="2"/>
  <c r="X28" i="2"/>
  <c r="W28" i="2"/>
  <c r="V28" i="2"/>
  <c r="U28" i="2"/>
  <c r="Q29" i="2"/>
  <c r="O28" i="2"/>
  <c r="O29" i="2" s="1"/>
  <c r="H32" i="6" s="1"/>
  <c r="H35" i="6" s="1"/>
  <c r="N29" i="10" s="1"/>
  <c r="N28" i="2"/>
  <c r="N29" i="2" s="1"/>
  <c r="G32" i="6" s="1"/>
  <c r="G35" i="6" s="1"/>
  <c r="M29" i="10" s="1"/>
  <c r="M28" i="2"/>
  <c r="M29" i="2" s="1"/>
  <c r="F32" i="6" s="1"/>
  <c r="F35" i="6" s="1"/>
  <c r="L29" i="10" s="1"/>
  <c r="L28" i="2"/>
  <c r="L29" i="2" s="1"/>
  <c r="K28" i="2"/>
  <c r="J28" i="2"/>
  <c r="I28" i="2"/>
  <c r="H28" i="2"/>
  <c r="O77" i="1"/>
  <c r="N77" i="1"/>
  <c r="M77" i="1"/>
  <c r="L77" i="1"/>
  <c r="K77" i="1"/>
  <c r="O74" i="1"/>
  <c r="N74" i="1"/>
  <c r="M74" i="1"/>
  <c r="L74" i="1"/>
  <c r="K74" i="1"/>
  <c r="O73" i="1"/>
  <c r="N73" i="1"/>
  <c r="M73" i="1"/>
  <c r="L73" i="1"/>
  <c r="K73" i="1"/>
  <c r="O72" i="1"/>
  <c r="N72" i="1"/>
  <c r="M72" i="1"/>
  <c r="L72" i="1"/>
  <c r="K72" i="1"/>
  <c r="O69" i="1"/>
  <c r="N69" i="1"/>
  <c r="M69" i="1"/>
  <c r="L69" i="1"/>
  <c r="K69" i="1"/>
  <c r="O68" i="1"/>
  <c r="N68" i="1"/>
  <c r="M68" i="1"/>
  <c r="L68" i="1"/>
  <c r="K68" i="1"/>
  <c r="O66" i="1"/>
  <c r="N66" i="1"/>
  <c r="M66" i="1"/>
  <c r="L66" i="1"/>
  <c r="K66" i="1"/>
  <c r="O65" i="1"/>
  <c r="N65" i="1"/>
  <c r="M65" i="1"/>
  <c r="L65" i="1"/>
  <c r="K65" i="1"/>
  <c r="K82" i="5" l="1"/>
  <c r="L59" i="2"/>
  <c r="M59" i="2" s="1"/>
  <c r="N59" i="2" s="1"/>
  <c r="O59" i="2" s="1"/>
  <c r="P59" i="2" s="1"/>
  <c r="Q59" i="2" s="1"/>
  <c r="L40" i="2"/>
  <c r="L44" i="2"/>
  <c r="M44" i="2" s="1"/>
  <c r="N44" i="2" s="1"/>
  <c r="O44" i="2" s="1"/>
  <c r="P44" i="2" s="1"/>
  <c r="Q44" i="2" s="1"/>
  <c r="L58" i="2"/>
  <c r="M58" i="2" s="1"/>
  <c r="N58" i="2" s="1"/>
  <c r="O58" i="2" s="1"/>
  <c r="P58" i="2" s="1"/>
  <c r="Q58" i="2" s="1"/>
  <c r="L86" i="2"/>
  <c r="M86" i="2" s="1"/>
  <c r="L51" i="2"/>
  <c r="M51" i="2" s="1"/>
  <c r="N51" i="2" s="1"/>
  <c r="O51" i="2" s="1"/>
  <c r="P51" i="2" s="1"/>
  <c r="Q51" i="2" s="1"/>
  <c r="L50" i="2"/>
  <c r="M50" i="2" s="1"/>
  <c r="N50" i="2" s="1"/>
  <c r="O50" i="2" s="1"/>
  <c r="P50" i="2" s="1"/>
  <c r="Q50" i="2" s="1"/>
  <c r="L61" i="2"/>
  <c r="M61" i="2" s="1"/>
  <c r="N61" i="2" s="1"/>
  <c r="O61" i="2" s="1"/>
  <c r="P61" i="2" s="1"/>
  <c r="Q61" i="2" s="1"/>
  <c r="L43" i="2"/>
  <c r="M43" i="2" s="1"/>
  <c r="N43" i="2" s="1"/>
  <c r="O43" i="2" s="1"/>
  <c r="P43" i="2" s="1"/>
  <c r="Q43" i="2" s="1"/>
  <c r="L60" i="2"/>
  <c r="M60" i="2" s="1"/>
  <c r="N60" i="2" s="1"/>
  <c r="O60" i="2" s="1"/>
  <c r="P60" i="2" s="1"/>
  <c r="Q60" i="2" s="1"/>
  <c r="L41" i="2"/>
  <c r="M41" i="2" s="1"/>
  <c r="N41" i="2" s="1"/>
  <c r="O41" i="2" s="1"/>
  <c r="P41" i="2" s="1"/>
  <c r="Q41" i="2" s="1"/>
  <c r="L42" i="2"/>
  <c r="M42" i="2" s="1"/>
  <c r="N42" i="2" s="1"/>
  <c r="O42" i="2" s="1"/>
  <c r="P42" i="2" s="1"/>
  <c r="I35" i="6"/>
  <c r="O29" i="10" s="1"/>
  <c r="J32" i="6"/>
  <c r="J35" i="6" s="1"/>
  <c r="P29" i="10" s="1"/>
  <c r="M104" i="2"/>
  <c r="H64" i="5" s="1"/>
  <c r="H156" i="5" s="1"/>
  <c r="M103" i="2"/>
  <c r="K29" i="2"/>
  <c r="J29" i="10" s="1"/>
  <c r="J28" i="10"/>
  <c r="H29" i="2"/>
  <c r="G29" i="10" s="1"/>
  <c r="G28" i="10"/>
  <c r="I29" i="2"/>
  <c r="H29" i="10" s="1"/>
  <c r="H28" i="10"/>
  <c r="J29" i="2"/>
  <c r="I29" i="10" s="1"/>
  <c r="I28" i="10"/>
  <c r="M104" i="10"/>
  <c r="H64" i="9"/>
  <c r="H156" i="9" s="1"/>
  <c r="S67" i="1"/>
  <c r="P65" i="1"/>
  <c r="S70" i="1"/>
  <c r="G63" i="5"/>
  <c r="G155" i="5" s="1"/>
  <c r="S66" i="1"/>
  <c r="K92" i="5"/>
  <c r="L85" i="2"/>
  <c r="E32" i="6"/>
  <c r="E35" i="6" s="1"/>
  <c r="N103" i="10"/>
  <c r="J63" i="9" s="1"/>
  <c r="J155" i="9" s="1"/>
  <c r="H63" i="5"/>
  <c r="H155" i="5" s="1"/>
  <c r="S72" i="1"/>
  <c r="G21" i="5"/>
  <c r="G22" i="5" s="1"/>
  <c r="G25" i="5" s="1"/>
  <c r="G12" i="5"/>
  <c r="G15" i="5" s="1"/>
  <c r="S65" i="1"/>
  <c r="N103" i="2"/>
  <c r="I63" i="5" s="1"/>
  <c r="I155" i="5" s="1"/>
  <c r="G64" i="5"/>
  <c r="G156" i="5" s="1"/>
  <c r="N104" i="2"/>
  <c r="I64" i="5" s="1"/>
  <c r="I156" i="5" s="1"/>
  <c r="J82" i="9"/>
  <c r="I82" i="9"/>
  <c r="J87" i="10"/>
  <c r="J90" i="10" s="1"/>
  <c r="J96" i="10" s="1"/>
  <c r="J98" i="10" s="1"/>
  <c r="I87" i="10"/>
  <c r="I90" i="10" s="1"/>
  <c r="I96" i="10" s="1"/>
  <c r="I98" i="10" s="1"/>
  <c r="H87" i="10"/>
  <c r="H90" i="10" s="1"/>
  <c r="H96" i="10" s="1"/>
  <c r="H98" i="10" s="1"/>
  <c r="G87" i="10"/>
  <c r="G90" i="10" s="1"/>
  <c r="G96" i="10" s="1"/>
  <c r="G98" i="10" s="1"/>
  <c r="F87" i="10"/>
  <c r="F90" i="10" s="1"/>
  <c r="F96" i="10" s="1"/>
  <c r="F98" i="10" s="1"/>
  <c r="J75" i="10"/>
  <c r="I75" i="10"/>
  <c r="H75" i="10"/>
  <c r="G75" i="10"/>
  <c r="F75" i="10"/>
  <c r="J74" i="10"/>
  <c r="I74" i="10"/>
  <c r="H74" i="10"/>
  <c r="G74" i="10"/>
  <c r="F74" i="10"/>
  <c r="J73" i="10"/>
  <c r="I73" i="10"/>
  <c r="H73" i="10"/>
  <c r="G73" i="10"/>
  <c r="F73" i="10"/>
  <c r="J72" i="10"/>
  <c r="K72" i="10" s="1"/>
  <c r="I72" i="10"/>
  <c r="H72" i="10"/>
  <c r="G72" i="10"/>
  <c r="F72" i="10"/>
  <c r="J66" i="10"/>
  <c r="I66" i="10"/>
  <c r="H66" i="10"/>
  <c r="G66" i="10"/>
  <c r="F66" i="10"/>
  <c r="J65" i="10"/>
  <c r="I65" i="10"/>
  <c r="H65" i="10"/>
  <c r="G65" i="10"/>
  <c r="F65" i="10"/>
  <c r="J64" i="10"/>
  <c r="I64" i="10"/>
  <c r="H64" i="10"/>
  <c r="G64" i="10"/>
  <c r="F64" i="10"/>
  <c r="J61" i="10"/>
  <c r="I61" i="10"/>
  <c r="H61" i="10"/>
  <c r="G61" i="10"/>
  <c r="F61" i="10"/>
  <c r="J60" i="10"/>
  <c r="I60" i="10"/>
  <c r="H60" i="10"/>
  <c r="G60" i="10"/>
  <c r="F60" i="10"/>
  <c r="J59" i="10"/>
  <c r="I59" i="10"/>
  <c r="H59" i="10"/>
  <c r="G59" i="10"/>
  <c r="F59" i="10"/>
  <c r="J58" i="10"/>
  <c r="I58" i="10"/>
  <c r="H58" i="10"/>
  <c r="G58" i="10"/>
  <c r="F58" i="10"/>
  <c r="J57" i="10"/>
  <c r="I57" i="10"/>
  <c r="H57" i="10"/>
  <c r="G57" i="10"/>
  <c r="F57" i="10"/>
  <c r="J51" i="10"/>
  <c r="I51" i="10"/>
  <c r="H51" i="10"/>
  <c r="G51" i="10"/>
  <c r="F51" i="10"/>
  <c r="J50" i="10"/>
  <c r="I50" i="10"/>
  <c r="H50" i="10"/>
  <c r="G50" i="10"/>
  <c r="F50" i="10"/>
  <c r="J49" i="10"/>
  <c r="I49" i="10"/>
  <c r="H49" i="10"/>
  <c r="G49" i="10"/>
  <c r="F49" i="10"/>
  <c r="J48" i="10"/>
  <c r="I48" i="10"/>
  <c r="H48" i="10"/>
  <c r="G48" i="10"/>
  <c r="F48" i="10"/>
  <c r="J47" i="10"/>
  <c r="I47" i="10"/>
  <c r="H47" i="10"/>
  <c r="G47" i="10"/>
  <c r="F47" i="10"/>
  <c r="J44" i="10"/>
  <c r="I44" i="10"/>
  <c r="H44" i="10"/>
  <c r="G44" i="10"/>
  <c r="F44" i="10"/>
  <c r="J43" i="10"/>
  <c r="I43" i="10"/>
  <c r="H43" i="10"/>
  <c r="G43" i="10"/>
  <c r="F43" i="10"/>
  <c r="J42" i="10"/>
  <c r="I42" i="10"/>
  <c r="H42" i="10"/>
  <c r="G42" i="10"/>
  <c r="F42" i="10"/>
  <c r="J41" i="10"/>
  <c r="I41" i="10"/>
  <c r="H41" i="10"/>
  <c r="G41" i="10"/>
  <c r="F41" i="10"/>
  <c r="J40" i="10"/>
  <c r="I40" i="10"/>
  <c r="H40" i="10"/>
  <c r="G40" i="10"/>
  <c r="F40" i="10"/>
  <c r="W16" i="10"/>
  <c r="V16" i="10"/>
  <c r="U16" i="10"/>
  <c r="T16" i="10"/>
  <c r="S16" i="10"/>
  <c r="A6" i="10"/>
  <c r="K87" i="2"/>
  <c r="J87" i="2"/>
  <c r="I87" i="2"/>
  <c r="H87" i="2"/>
  <c r="G87" i="2"/>
  <c r="K75" i="2"/>
  <c r="J75" i="2"/>
  <c r="I75" i="2"/>
  <c r="H75" i="2"/>
  <c r="G75" i="2"/>
  <c r="J74" i="2"/>
  <c r="I74" i="2"/>
  <c r="H74" i="2"/>
  <c r="G74" i="2"/>
  <c r="K73" i="2"/>
  <c r="J73" i="2"/>
  <c r="I73" i="2"/>
  <c r="H73" i="2"/>
  <c r="G73" i="2"/>
  <c r="K72" i="2"/>
  <c r="L72" i="2" s="1"/>
  <c r="M72" i="2" s="1"/>
  <c r="N72" i="2" s="1"/>
  <c r="J72" i="2"/>
  <c r="I72" i="2"/>
  <c r="H72" i="2"/>
  <c r="G72" i="2"/>
  <c r="K66" i="2"/>
  <c r="L66" i="2" s="1"/>
  <c r="M66" i="2" s="1"/>
  <c r="N66" i="2" s="1"/>
  <c r="J66" i="2"/>
  <c r="I66" i="2"/>
  <c r="H66" i="2"/>
  <c r="G66" i="2"/>
  <c r="K65" i="2"/>
  <c r="L65" i="2" s="1"/>
  <c r="M65" i="2" s="1"/>
  <c r="N65" i="2" s="1"/>
  <c r="J65" i="2"/>
  <c r="I65" i="2"/>
  <c r="H65" i="2"/>
  <c r="G65" i="2"/>
  <c r="K64" i="2"/>
  <c r="L64" i="2" s="1"/>
  <c r="J64" i="2"/>
  <c r="I64" i="2"/>
  <c r="H64" i="2"/>
  <c r="G64" i="2"/>
  <c r="K61" i="2"/>
  <c r="J61" i="2"/>
  <c r="I61" i="2"/>
  <c r="H61" i="2"/>
  <c r="G61" i="2"/>
  <c r="K60" i="2"/>
  <c r="J60" i="2"/>
  <c r="I60" i="2"/>
  <c r="H60" i="2"/>
  <c r="G60" i="2"/>
  <c r="K59" i="2"/>
  <c r="J59" i="2"/>
  <c r="I59" i="2"/>
  <c r="H59" i="2"/>
  <c r="G59" i="2"/>
  <c r="K58" i="2"/>
  <c r="J58" i="2"/>
  <c r="J154" i="2" s="1"/>
  <c r="I58" i="2"/>
  <c r="I154" i="2" s="1"/>
  <c r="H58" i="2"/>
  <c r="H154" i="2" s="1"/>
  <c r="G58" i="2"/>
  <c r="G154" i="2" s="1"/>
  <c r="K57" i="2"/>
  <c r="L57" i="2" s="1"/>
  <c r="J57" i="2"/>
  <c r="I57" i="2"/>
  <c r="H57" i="2"/>
  <c r="G57" i="2"/>
  <c r="K51" i="2"/>
  <c r="J51" i="2"/>
  <c r="I51" i="2"/>
  <c r="H51" i="2"/>
  <c r="G51" i="2"/>
  <c r="K50" i="2"/>
  <c r="J50" i="2"/>
  <c r="I50" i="2"/>
  <c r="H50" i="2"/>
  <c r="G50" i="2"/>
  <c r="K49" i="2"/>
  <c r="J49" i="2"/>
  <c r="J126" i="2" s="1"/>
  <c r="I49" i="2"/>
  <c r="I126" i="2" s="1"/>
  <c r="H49" i="2"/>
  <c r="H126" i="2" s="1"/>
  <c r="G49" i="2"/>
  <c r="G126" i="2" s="1"/>
  <c r="K48" i="2"/>
  <c r="L48" i="2" s="1"/>
  <c r="M48" i="2" s="1"/>
  <c r="N48" i="2" s="1"/>
  <c r="J48" i="2"/>
  <c r="I48" i="2"/>
  <c r="H48" i="2"/>
  <c r="G48" i="2"/>
  <c r="K47" i="2"/>
  <c r="L47" i="2" s="1"/>
  <c r="J47" i="2"/>
  <c r="I47" i="2"/>
  <c r="H47" i="2"/>
  <c r="G47" i="2"/>
  <c r="K44" i="2"/>
  <c r="J44" i="2"/>
  <c r="I44" i="2"/>
  <c r="H44" i="2"/>
  <c r="G44" i="2"/>
  <c r="K43" i="2"/>
  <c r="K152" i="2" s="1"/>
  <c r="J43" i="2"/>
  <c r="J152" i="2" s="1"/>
  <c r="I43" i="2"/>
  <c r="I152" i="2" s="1"/>
  <c r="H43" i="2"/>
  <c r="H152" i="2" s="1"/>
  <c r="G43" i="2"/>
  <c r="G152" i="2" s="1"/>
  <c r="K42" i="2"/>
  <c r="J42" i="2"/>
  <c r="I42" i="2"/>
  <c r="H42" i="2"/>
  <c r="G42" i="2"/>
  <c r="K41" i="2"/>
  <c r="J41" i="2"/>
  <c r="I41" i="2"/>
  <c r="H41" i="2"/>
  <c r="G41" i="2"/>
  <c r="K40" i="2"/>
  <c r="J40" i="2"/>
  <c r="I40" i="2"/>
  <c r="H40" i="2"/>
  <c r="G40" i="2"/>
  <c r="K24" i="2"/>
  <c r="G9" i="5" s="1"/>
  <c r="G9" i="9" s="1"/>
  <c r="J24" i="2"/>
  <c r="J38" i="2" s="1"/>
  <c r="I24" i="2"/>
  <c r="H24" i="10" s="1"/>
  <c r="U15" i="10" s="1"/>
  <c r="H24" i="2"/>
  <c r="G24" i="2"/>
  <c r="G38" i="2" s="1"/>
  <c r="B6" i="2"/>
  <c r="J67" i="1"/>
  <c r="O67" i="1" s="1"/>
  <c r="I67" i="1"/>
  <c r="H67" i="1"/>
  <c r="G67" i="1"/>
  <c r="F67" i="1"/>
  <c r="K67" i="1" s="1"/>
  <c r="J63" i="1"/>
  <c r="K83" i="2" s="1"/>
  <c r="K102" i="2" s="1"/>
  <c r="I63" i="1"/>
  <c r="H63" i="1"/>
  <c r="G63" i="1"/>
  <c r="G82" i="1" s="1"/>
  <c r="F63" i="1"/>
  <c r="G83" i="2" s="1"/>
  <c r="G102" i="2" s="1"/>
  <c r="A59" i="1"/>
  <c r="J53" i="1"/>
  <c r="I53" i="1"/>
  <c r="H53" i="1"/>
  <c r="G53" i="1"/>
  <c r="F53" i="1"/>
  <c r="J44" i="1"/>
  <c r="I44" i="1"/>
  <c r="H44" i="1"/>
  <c r="G44" i="1"/>
  <c r="F44" i="1"/>
  <c r="J39" i="1"/>
  <c r="I39" i="1"/>
  <c r="H39" i="1"/>
  <c r="G39" i="1"/>
  <c r="F39" i="1"/>
  <c r="J29" i="1"/>
  <c r="I29" i="1"/>
  <c r="H29" i="1"/>
  <c r="G29" i="1"/>
  <c r="F29" i="1"/>
  <c r="J22" i="1"/>
  <c r="I22" i="1"/>
  <c r="H22" i="1"/>
  <c r="G22" i="1"/>
  <c r="F22" i="1"/>
  <c r="K15" i="1"/>
  <c r="K63" i="1" s="1"/>
  <c r="K35" i="6" l="1"/>
  <c r="N86" i="2"/>
  <c r="O86" i="2" s="1"/>
  <c r="P86" i="2" s="1"/>
  <c r="Q42" i="2"/>
  <c r="L74" i="5" s="1"/>
  <c r="K74" i="5"/>
  <c r="P104" i="2"/>
  <c r="O72" i="2"/>
  <c r="P72" i="2" s="1"/>
  <c r="Q72" i="2" s="1"/>
  <c r="O65" i="2"/>
  <c r="Q65" i="2" s="1"/>
  <c r="P65" i="2"/>
  <c r="O66" i="2"/>
  <c r="Q66" i="2" s="1"/>
  <c r="P66" i="2"/>
  <c r="O48" i="2"/>
  <c r="Q48" i="2" s="1"/>
  <c r="P48" i="2"/>
  <c r="I123" i="2"/>
  <c r="I124" i="2" s="1"/>
  <c r="I125" i="2" s="1"/>
  <c r="I151" i="2"/>
  <c r="I153" i="2" s="1"/>
  <c r="I150" i="2"/>
  <c r="J123" i="2"/>
  <c r="J124" i="2" s="1"/>
  <c r="J125" i="2" s="1"/>
  <c r="J151" i="2"/>
  <c r="J153" i="2" s="1"/>
  <c r="J150" i="2"/>
  <c r="G90" i="2"/>
  <c r="G96" i="2" s="1"/>
  <c r="G98" i="2" s="1"/>
  <c r="G134" i="2"/>
  <c r="K154" i="2"/>
  <c r="K151" i="2"/>
  <c r="K153" i="2" s="1"/>
  <c r="K150" i="2"/>
  <c r="H90" i="2"/>
  <c r="H113" i="2" s="1"/>
  <c r="H134" i="2"/>
  <c r="I90" i="2"/>
  <c r="I96" i="2" s="1"/>
  <c r="I98" i="2" s="1"/>
  <c r="I134" i="2"/>
  <c r="J90" i="2"/>
  <c r="J113" i="2" s="1"/>
  <c r="J134" i="2"/>
  <c r="K90" i="2"/>
  <c r="K113" i="2" s="1"/>
  <c r="K134" i="2"/>
  <c r="H123" i="2"/>
  <c r="H124" i="2" s="1"/>
  <c r="H125" i="2" s="1"/>
  <c r="H151" i="2"/>
  <c r="H153" i="2" s="1"/>
  <c r="H150" i="2"/>
  <c r="G151" i="2"/>
  <c r="G153" i="2" s="1"/>
  <c r="G150" i="2"/>
  <c r="L49" i="2"/>
  <c r="L52" i="2" s="1"/>
  <c r="K126" i="2"/>
  <c r="G123" i="2"/>
  <c r="G124" i="2" s="1"/>
  <c r="G125" i="2" s="1"/>
  <c r="K123" i="2"/>
  <c r="K124" i="2" s="1"/>
  <c r="K125" i="2" s="1"/>
  <c r="Y15" i="2"/>
  <c r="O103" i="10"/>
  <c r="K63" i="9" s="1"/>
  <c r="K155" i="9" s="1"/>
  <c r="I64" i="9"/>
  <c r="I156" i="9" s="1"/>
  <c r="N104" i="10"/>
  <c r="S68" i="1"/>
  <c r="G27" i="5"/>
  <c r="L88" i="2"/>
  <c r="E17" i="6" s="1"/>
  <c r="E27" i="6" s="1"/>
  <c r="K88" i="10" s="1"/>
  <c r="M85" i="2"/>
  <c r="L89" i="2"/>
  <c r="E22" i="6" s="1"/>
  <c r="L93" i="2"/>
  <c r="K82" i="9"/>
  <c r="K92" i="9" s="1"/>
  <c r="L87" i="2"/>
  <c r="L134" i="2" s="1"/>
  <c r="L94" i="2"/>
  <c r="G57" i="5" s="1"/>
  <c r="F74" i="5"/>
  <c r="L92" i="2"/>
  <c r="L97" i="2"/>
  <c r="S71" i="1"/>
  <c r="E36" i="6"/>
  <c r="K29" i="10"/>
  <c r="K48" i="10" s="1"/>
  <c r="L48" i="10" s="1"/>
  <c r="M48" i="10" s="1"/>
  <c r="N48" i="10" s="1"/>
  <c r="O48" i="10" s="1"/>
  <c r="P48" i="10" s="1"/>
  <c r="L72" i="10"/>
  <c r="H33" i="5"/>
  <c r="G113" i="9"/>
  <c r="G33" i="9"/>
  <c r="G112" i="9"/>
  <c r="F74" i="9"/>
  <c r="J45" i="2"/>
  <c r="G31" i="1"/>
  <c r="L22" i="1" s="1"/>
  <c r="F52" i="10"/>
  <c r="J52" i="10"/>
  <c r="I67" i="2"/>
  <c r="L51" i="1"/>
  <c r="L50" i="1"/>
  <c r="L53" i="1"/>
  <c r="L49" i="1"/>
  <c r="L52" i="1"/>
  <c r="H70" i="1"/>
  <c r="M70" i="1" s="1"/>
  <c r="M67" i="1"/>
  <c r="J70" i="1"/>
  <c r="J24" i="10"/>
  <c r="J38" i="10" s="1"/>
  <c r="H45" i="10"/>
  <c r="H52" i="2"/>
  <c r="F46" i="1"/>
  <c r="K39" i="1" s="1"/>
  <c r="J46" i="1"/>
  <c r="O39" i="1" s="1"/>
  <c r="M50" i="1"/>
  <c r="M53" i="1"/>
  <c r="M49" i="1"/>
  <c r="M52" i="1"/>
  <c r="M51" i="1"/>
  <c r="I70" i="1"/>
  <c r="N70" i="1" s="1"/>
  <c r="N67" i="1"/>
  <c r="G112" i="5"/>
  <c r="G171" i="5" s="1"/>
  <c r="O103" i="2"/>
  <c r="I76" i="10"/>
  <c r="N53" i="1"/>
  <c r="N49" i="1"/>
  <c r="N52" i="1"/>
  <c r="N51" i="1"/>
  <c r="N50" i="1"/>
  <c r="G62" i="10"/>
  <c r="W15" i="2"/>
  <c r="I62" i="2"/>
  <c r="G67" i="10"/>
  <c r="G76" i="2"/>
  <c r="G148" i="2" s="1"/>
  <c r="K52" i="1"/>
  <c r="K51" i="1"/>
  <c r="K50" i="1"/>
  <c r="K49" i="1"/>
  <c r="K53" i="1"/>
  <c r="K76" i="2"/>
  <c r="K148" i="2" s="1"/>
  <c r="O52" i="1"/>
  <c r="O51" i="1"/>
  <c r="O50" i="1"/>
  <c r="O53" i="1"/>
  <c r="O49" i="1"/>
  <c r="G70" i="1"/>
  <c r="L67" i="1"/>
  <c r="F70" i="1"/>
  <c r="G113" i="5"/>
  <c r="G172" i="5" s="1"/>
  <c r="G33" i="5"/>
  <c r="L67" i="2"/>
  <c r="M64" i="2"/>
  <c r="M47" i="2"/>
  <c r="M57" i="2"/>
  <c r="O104" i="2"/>
  <c r="U15" i="2"/>
  <c r="L24" i="2"/>
  <c r="G32" i="5" s="1"/>
  <c r="G54" i="5" s="1"/>
  <c r="G96" i="5" s="1"/>
  <c r="G128" i="5" s="1"/>
  <c r="G138" i="5" s="1"/>
  <c r="G153" i="5" s="1"/>
  <c r="G159" i="5" s="1"/>
  <c r="F24" i="10"/>
  <c r="F38" i="10" s="1"/>
  <c r="I52" i="10"/>
  <c r="J52" i="2"/>
  <c r="J62" i="2"/>
  <c r="I62" i="10"/>
  <c r="H83" i="10"/>
  <c r="H102" i="10" s="1"/>
  <c r="I83" i="2"/>
  <c r="I102" i="2" s="1"/>
  <c r="J82" i="1"/>
  <c r="G52" i="2"/>
  <c r="H62" i="2"/>
  <c r="H67" i="2"/>
  <c r="H38" i="10"/>
  <c r="J76" i="10"/>
  <c r="F83" i="10"/>
  <c r="F102" i="10" s="1"/>
  <c r="H31" i="1"/>
  <c r="M22" i="1" s="1"/>
  <c r="F62" i="10"/>
  <c r="G62" i="2"/>
  <c r="J62" i="10"/>
  <c r="G111" i="9" s="1"/>
  <c r="K62" i="2"/>
  <c r="J67" i="2"/>
  <c r="I67" i="10"/>
  <c r="G46" i="1"/>
  <c r="L44" i="1" s="1"/>
  <c r="I82" i="1"/>
  <c r="I83" i="10"/>
  <c r="I102" i="10" s="1"/>
  <c r="F82" i="1"/>
  <c r="K52" i="2"/>
  <c r="G52" i="10"/>
  <c r="H62" i="10"/>
  <c r="H67" i="10"/>
  <c r="J83" i="10"/>
  <c r="J102" i="10" s="1"/>
  <c r="L15" i="1"/>
  <c r="G45" i="2"/>
  <c r="F45" i="10"/>
  <c r="K45" i="2"/>
  <c r="J45" i="10"/>
  <c r="I31" i="1"/>
  <c r="N29" i="1" s="1"/>
  <c r="F67" i="10"/>
  <c r="G67" i="2"/>
  <c r="J67" i="10"/>
  <c r="K67" i="2"/>
  <c r="H46" i="1"/>
  <c r="M44" i="1" s="1"/>
  <c r="H76" i="2"/>
  <c r="H148" i="2" s="1"/>
  <c r="G76" i="10"/>
  <c r="G24" i="10"/>
  <c r="V15" i="2"/>
  <c r="H38" i="2"/>
  <c r="I45" i="2"/>
  <c r="G45" i="10"/>
  <c r="H45" i="2"/>
  <c r="I52" i="2"/>
  <c r="H52" i="10"/>
  <c r="F31" i="1"/>
  <c r="K29" i="1" s="1"/>
  <c r="J31" i="1"/>
  <c r="O29" i="1" s="1"/>
  <c r="I46" i="1"/>
  <c r="H76" i="10"/>
  <c r="I76" i="2"/>
  <c r="I148" i="2" s="1"/>
  <c r="H83" i="2"/>
  <c r="H102" i="2" s="1"/>
  <c r="G83" i="10"/>
  <c r="G102" i="10" s="1"/>
  <c r="H82" i="1"/>
  <c r="J76" i="2"/>
  <c r="J148" i="2" s="1"/>
  <c r="J83" i="2"/>
  <c r="J102" i="2" s="1"/>
  <c r="I45" i="10"/>
  <c r="F76" i="10"/>
  <c r="X15" i="2"/>
  <c r="K38" i="2"/>
  <c r="I24" i="10"/>
  <c r="I38" i="2"/>
  <c r="L68" i="5" l="1"/>
  <c r="Q86" i="2"/>
  <c r="J12" i="6" s="1"/>
  <c r="J26" i="6" s="1"/>
  <c r="I12" i="6"/>
  <c r="G113" i="2"/>
  <c r="G69" i="5"/>
  <c r="I113" i="2"/>
  <c r="M49" i="2"/>
  <c r="M126" i="2" s="1"/>
  <c r="L126" i="2"/>
  <c r="H96" i="2"/>
  <c r="H98" i="2" s="1"/>
  <c r="H136" i="2" s="1"/>
  <c r="J140" i="2"/>
  <c r="J139" i="2"/>
  <c r="J141" i="2"/>
  <c r="G136" i="2"/>
  <c r="G137" i="2"/>
  <c r="L154" i="2"/>
  <c r="I136" i="2"/>
  <c r="I137" i="2"/>
  <c r="I112" i="2"/>
  <c r="I129" i="2" s="1"/>
  <c r="I130" i="2" s="1"/>
  <c r="I121" i="2"/>
  <c r="I122" i="2" s="1"/>
  <c r="I135" i="2"/>
  <c r="G121" i="2"/>
  <c r="G122" i="2" s="1"/>
  <c r="G112" i="2"/>
  <c r="G129" i="2" s="1"/>
  <c r="G130" i="2" s="1"/>
  <c r="G135" i="2"/>
  <c r="H139" i="2"/>
  <c r="H141" i="2"/>
  <c r="H140" i="2"/>
  <c r="K121" i="2"/>
  <c r="K112" i="2"/>
  <c r="K129" i="2" s="1"/>
  <c r="K130" i="2" s="1"/>
  <c r="K135" i="2"/>
  <c r="G141" i="2"/>
  <c r="G140" i="2"/>
  <c r="G139" i="2"/>
  <c r="L62" i="2"/>
  <c r="L69" i="2" s="1"/>
  <c r="L145" i="2" s="1"/>
  <c r="H137" i="2"/>
  <c r="H112" i="2"/>
  <c r="H129" i="2" s="1"/>
  <c r="H130" i="2" s="1"/>
  <c r="H121" i="2"/>
  <c r="H122" i="2" s="1"/>
  <c r="H135" i="2"/>
  <c r="G111" i="5"/>
  <c r="G170" i="5" s="1"/>
  <c r="J112" i="2"/>
  <c r="J129" i="2" s="1"/>
  <c r="J130" i="2" s="1"/>
  <c r="J121" i="2"/>
  <c r="J135" i="2"/>
  <c r="I139" i="2"/>
  <c r="I140" i="2"/>
  <c r="I141" i="2"/>
  <c r="K141" i="2"/>
  <c r="K139" i="2"/>
  <c r="K140" i="2"/>
  <c r="G140" i="5"/>
  <c r="K96" i="2"/>
  <c r="K98" i="2" s="1"/>
  <c r="J96" i="2"/>
  <c r="J98" i="2" s="1"/>
  <c r="M94" i="2"/>
  <c r="H57" i="5" s="1"/>
  <c r="U24" i="2"/>
  <c r="K24" i="10"/>
  <c r="X15" i="10" s="1"/>
  <c r="Z15" i="2"/>
  <c r="Z16" i="2" s="1"/>
  <c r="AB24" i="2"/>
  <c r="L38" i="2"/>
  <c r="L83" i="2" s="1"/>
  <c r="E10" i="6" s="1"/>
  <c r="M24" i="2"/>
  <c r="N24" i="2" s="1"/>
  <c r="I69" i="2"/>
  <c r="I144" i="2" s="1"/>
  <c r="N85" i="2"/>
  <c r="S15" i="10"/>
  <c r="H54" i="2"/>
  <c r="S69" i="1"/>
  <c r="S73" i="1" s="1"/>
  <c r="J64" i="9"/>
  <c r="J156" i="9" s="1"/>
  <c r="O104" i="10"/>
  <c r="K64" i="9" s="1"/>
  <c r="K156" i="9" s="1"/>
  <c r="I76" i="1"/>
  <c r="N76" i="1" s="1"/>
  <c r="L70" i="1"/>
  <c r="G76" i="1"/>
  <c r="G56" i="5"/>
  <c r="W15" i="10"/>
  <c r="M97" i="2"/>
  <c r="H56" i="5" s="1"/>
  <c r="M89" i="2"/>
  <c r="F22" i="6" s="1"/>
  <c r="F28" i="6" s="1"/>
  <c r="L89" i="10" s="1"/>
  <c r="M92" i="2"/>
  <c r="M93" i="2"/>
  <c r="M88" i="2"/>
  <c r="F17" i="6" s="1"/>
  <c r="L90" i="2"/>
  <c r="J54" i="10"/>
  <c r="E12" i="6"/>
  <c r="I54" i="10"/>
  <c r="H54" i="10"/>
  <c r="J54" i="2"/>
  <c r="K44" i="10"/>
  <c r="L44" i="10" s="1"/>
  <c r="K64" i="10"/>
  <c r="L64" i="10" s="1"/>
  <c r="M64" i="10" s="1"/>
  <c r="K42" i="10"/>
  <c r="L42" i="10" s="1"/>
  <c r="K66" i="10"/>
  <c r="L66" i="10" s="1"/>
  <c r="M66" i="10" s="1"/>
  <c r="N66" i="10" s="1"/>
  <c r="O66" i="10" s="1"/>
  <c r="P66" i="10" s="1"/>
  <c r="K40" i="10"/>
  <c r="L40" i="10" s="1"/>
  <c r="K59" i="10"/>
  <c r="L59" i="10" s="1"/>
  <c r="K41" i="10"/>
  <c r="L41" i="10" s="1"/>
  <c r="H76" i="1"/>
  <c r="M76" i="1" s="1"/>
  <c r="L76" i="1"/>
  <c r="K57" i="10"/>
  <c r="K50" i="10"/>
  <c r="L50" i="10" s="1"/>
  <c r="E28" i="6"/>
  <c r="K89" i="10" s="1"/>
  <c r="K58" i="10"/>
  <c r="L58" i="10" s="1"/>
  <c r="K60" i="10"/>
  <c r="L60" i="10" s="1"/>
  <c r="K65" i="10"/>
  <c r="K49" i="10"/>
  <c r="K51" i="10"/>
  <c r="L51" i="10" s="1"/>
  <c r="K61" i="10"/>
  <c r="L61" i="10" s="1"/>
  <c r="F36" i="6"/>
  <c r="K85" i="10"/>
  <c r="K73" i="10"/>
  <c r="K43" i="10"/>
  <c r="L43" i="10" s="1"/>
  <c r="K47" i="10"/>
  <c r="G34" i="9"/>
  <c r="G40" i="9" s="1"/>
  <c r="G119" i="9"/>
  <c r="M72" i="10"/>
  <c r="G69" i="10"/>
  <c r="G78" i="10" s="1"/>
  <c r="M39" i="1"/>
  <c r="K54" i="2"/>
  <c r="F54" i="10"/>
  <c r="L29" i="1"/>
  <c r="K22" i="1"/>
  <c r="N41" i="1"/>
  <c r="N36" i="1"/>
  <c r="N35" i="1"/>
  <c r="N43" i="1"/>
  <c r="N38" i="1"/>
  <c r="N34" i="1"/>
  <c r="N37" i="1"/>
  <c r="N42" i="1"/>
  <c r="Q104" i="2"/>
  <c r="K156" i="5" s="1"/>
  <c r="J64" i="5"/>
  <c r="J156" i="5" s="1"/>
  <c r="J55" i="1"/>
  <c r="J57" i="1" s="1"/>
  <c r="O35" i="1"/>
  <c r="O43" i="1"/>
  <c r="O38" i="1"/>
  <c r="O34" i="1"/>
  <c r="O42" i="1"/>
  <c r="O37" i="1"/>
  <c r="O41" i="1"/>
  <c r="O36" i="1"/>
  <c r="M29" i="1"/>
  <c r="J63" i="5"/>
  <c r="J155" i="5" s="1"/>
  <c r="K155" i="5"/>
  <c r="J76" i="1"/>
  <c r="O70" i="1"/>
  <c r="L25" i="1"/>
  <c r="L18" i="1"/>
  <c r="L24" i="1"/>
  <c r="L19" i="1"/>
  <c r="L28" i="1"/>
  <c r="L26" i="1"/>
  <c r="L21" i="1"/>
  <c r="L17" i="1"/>
  <c r="L20" i="1"/>
  <c r="L27" i="1"/>
  <c r="N44" i="1"/>
  <c r="F55" i="1"/>
  <c r="F57" i="1" s="1"/>
  <c r="K35" i="1"/>
  <c r="K43" i="1"/>
  <c r="K38" i="1"/>
  <c r="K34" i="1"/>
  <c r="K42" i="1"/>
  <c r="K37" i="1"/>
  <c r="K36" i="1"/>
  <c r="K41" i="1"/>
  <c r="K44" i="1"/>
  <c r="O27" i="1"/>
  <c r="O26" i="1"/>
  <c r="O21" i="1"/>
  <c r="O17" i="1"/>
  <c r="O25" i="1"/>
  <c r="O20" i="1"/>
  <c r="O28" i="1"/>
  <c r="O24" i="1"/>
  <c r="O19" i="1"/>
  <c r="O18" i="1"/>
  <c r="M42" i="1"/>
  <c r="M37" i="1"/>
  <c r="M41" i="1"/>
  <c r="M36" i="1"/>
  <c r="M35" i="1"/>
  <c r="M34" i="1"/>
  <c r="M38" i="1"/>
  <c r="M43" i="1"/>
  <c r="M28" i="1"/>
  <c r="M24" i="1"/>
  <c r="M19" i="1"/>
  <c r="M26" i="1"/>
  <c r="M27" i="1"/>
  <c r="M18" i="1"/>
  <c r="M17" i="1"/>
  <c r="M25" i="1"/>
  <c r="M20" i="1"/>
  <c r="M21" i="1"/>
  <c r="K28" i="1"/>
  <c r="K26" i="1"/>
  <c r="K21" i="1"/>
  <c r="K17" i="1"/>
  <c r="K24" i="1"/>
  <c r="K25" i="1"/>
  <c r="K20" i="1"/>
  <c r="K27" i="1"/>
  <c r="K18" i="1"/>
  <c r="K19" i="1"/>
  <c r="G54" i="10"/>
  <c r="N28" i="1"/>
  <c r="N27" i="1"/>
  <c r="N20" i="1"/>
  <c r="N26" i="1"/>
  <c r="N21" i="1"/>
  <c r="N17" i="1"/>
  <c r="N24" i="1"/>
  <c r="N19" i="1"/>
  <c r="N18" i="1"/>
  <c r="N25" i="1"/>
  <c r="G54" i="2"/>
  <c r="L43" i="1"/>
  <c r="L38" i="1"/>
  <c r="L34" i="1"/>
  <c r="L42" i="1"/>
  <c r="L37" i="1"/>
  <c r="L41" i="1"/>
  <c r="L36" i="1"/>
  <c r="L35" i="1"/>
  <c r="I33" i="5"/>
  <c r="F76" i="1"/>
  <c r="K70" i="1"/>
  <c r="G116" i="5"/>
  <c r="G34" i="5"/>
  <c r="G41" i="5" s="1"/>
  <c r="O22" i="1"/>
  <c r="L39" i="1"/>
  <c r="O44" i="1"/>
  <c r="N39" i="1"/>
  <c r="N22" i="1"/>
  <c r="N47" i="2"/>
  <c r="P47" i="2" s="1"/>
  <c r="N64" i="2"/>
  <c r="P64" i="2" s="1"/>
  <c r="P67" i="2" s="1"/>
  <c r="M67" i="2"/>
  <c r="N57" i="2"/>
  <c r="I54" i="2"/>
  <c r="H55" i="1"/>
  <c r="H57" i="1" s="1"/>
  <c r="H69" i="10"/>
  <c r="H78" i="10" s="1"/>
  <c r="H80" i="10" s="1"/>
  <c r="K69" i="2"/>
  <c r="K145" i="2" s="1"/>
  <c r="I38" i="10"/>
  <c r="V15" i="10"/>
  <c r="I55" i="1"/>
  <c r="I57" i="1" s="1"/>
  <c r="K38" i="10"/>
  <c r="K83" i="10" s="1"/>
  <c r="K102" i="10" s="1"/>
  <c r="T15" i="10"/>
  <c r="G38" i="10"/>
  <c r="M15" i="1"/>
  <c r="L63" i="1"/>
  <c r="G55" i="1"/>
  <c r="G57" i="1" s="1"/>
  <c r="J69" i="10"/>
  <c r="J78" i="10" s="1"/>
  <c r="H69" i="2"/>
  <c r="G69" i="2"/>
  <c r="G144" i="2" s="1"/>
  <c r="I69" i="10"/>
  <c r="I78" i="10" s="1"/>
  <c r="F69" i="10"/>
  <c r="F78" i="10" s="1"/>
  <c r="J69" i="2"/>
  <c r="J144" i="2" s="1"/>
  <c r="N49" i="2" l="1"/>
  <c r="I69" i="5" s="1"/>
  <c r="M52" i="2"/>
  <c r="H69" i="5"/>
  <c r="M43" i="10"/>
  <c r="M60" i="10"/>
  <c r="M59" i="10"/>
  <c r="M58" i="10"/>
  <c r="M40" i="10"/>
  <c r="E26" i="6"/>
  <c r="K86" i="10" s="1"/>
  <c r="K87" i="10" s="1"/>
  <c r="K90" i="10" s="1"/>
  <c r="M50" i="10"/>
  <c r="M61" i="10"/>
  <c r="M41" i="10"/>
  <c r="M51" i="10"/>
  <c r="M44" i="10"/>
  <c r="L102" i="2"/>
  <c r="I114" i="2"/>
  <c r="O85" i="2"/>
  <c r="P85" i="2" s="1"/>
  <c r="Q85" i="2" s="1"/>
  <c r="Q92" i="2" s="1"/>
  <c r="H114" i="2"/>
  <c r="M62" i="2"/>
  <c r="M69" i="2" s="1"/>
  <c r="N87" i="2"/>
  <c r="N134" i="2" s="1"/>
  <c r="K114" i="2"/>
  <c r="H140" i="5"/>
  <c r="G145" i="2"/>
  <c r="K122" i="2"/>
  <c r="K137" i="2"/>
  <c r="K136" i="2"/>
  <c r="G130" i="5"/>
  <c r="I78" i="2"/>
  <c r="I143" i="2"/>
  <c r="L144" i="2"/>
  <c r="H78" i="2"/>
  <c r="H80" i="2" s="1"/>
  <c r="H143" i="2"/>
  <c r="K78" i="2"/>
  <c r="K80" i="2" s="1"/>
  <c r="K143" i="2"/>
  <c r="J114" i="2"/>
  <c r="H144" i="2"/>
  <c r="I145" i="2"/>
  <c r="K111" i="2"/>
  <c r="K149" i="2"/>
  <c r="J78" i="2"/>
  <c r="J80" i="2" s="1"/>
  <c r="J143" i="2"/>
  <c r="J145" i="2"/>
  <c r="G111" i="2"/>
  <c r="G149" i="2"/>
  <c r="L121" i="2"/>
  <c r="L112" i="2"/>
  <c r="L129" i="2" s="1"/>
  <c r="L135" i="2"/>
  <c r="H111" i="2"/>
  <c r="H149" i="2"/>
  <c r="H145" i="2"/>
  <c r="J122" i="2"/>
  <c r="J137" i="2"/>
  <c r="J136" i="2"/>
  <c r="G114" i="2"/>
  <c r="I111" i="2"/>
  <c r="I149" i="2"/>
  <c r="K144" i="2"/>
  <c r="J111" i="2"/>
  <c r="J149" i="2"/>
  <c r="G78" i="2"/>
  <c r="G143" i="2"/>
  <c r="F12" i="6"/>
  <c r="F26" i="6" s="1"/>
  <c r="L86" i="10" s="1"/>
  <c r="M154" i="2"/>
  <c r="H32" i="5"/>
  <c r="H54" i="5" s="1"/>
  <c r="N88" i="2"/>
  <c r="G17" i="6" s="1"/>
  <c r="G27" i="6" s="1"/>
  <c r="M88" i="10" s="1"/>
  <c r="V24" i="2"/>
  <c r="L24" i="10"/>
  <c r="L38" i="10" s="1"/>
  <c r="L83" i="10" s="1"/>
  <c r="L102" i="10" s="1"/>
  <c r="N92" i="2"/>
  <c r="AC24" i="2"/>
  <c r="N94" i="2"/>
  <c r="I57" i="5" s="1"/>
  <c r="M38" i="2"/>
  <c r="M83" i="2" s="1"/>
  <c r="M102" i="2" s="1"/>
  <c r="AA15" i="2"/>
  <c r="AA16" i="2" s="1"/>
  <c r="N89" i="2"/>
  <c r="N97" i="2"/>
  <c r="I56" i="5" s="1"/>
  <c r="N93" i="2"/>
  <c r="L96" i="2"/>
  <c r="L98" i="2" s="1"/>
  <c r="L76" i="2" s="1"/>
  <c r="L113" i="2"/>
  <c r="F80" i="10"/>
  <c r="I78" i="1"/>
  <c r="G40" i="5"/>
  <c r="X16" i="10"/>
  <c r="J80" i="10"/>
  <c r="M87" i="2"/>
  <c r="G41" i="9"/>
  <c r="G42" i="9" s="1"/>
  <c r="I80" i="10"/>
  <c r="H78" i="1"/>
  <c r="M78" i="1" s="1"/>
  <c r="G80" i="2"/>
  <c r="K45" i="10"/>
  <c r="G140" i="9"/>
  <c r="G74" i="9"/>
  <c r="G68" i="9" s="1"/>
  <c r="H33" i="9"/>
  <c r="L57" i="10"/>
  <c r="G78" i="1"/>
  <c r="L78" i="1" s="1"/>
  <c r="K52" i="10"/>
  <c r="L47" i="10"/>
  <c r="L65" i="10"/>
  <c r="K67" i="10"/>
  <c r="L85" i="10"/>
  <c r="G36" i="6"/>
  <c r="G12" i="6"/>
  <c r="L73" i="10"/>
  <c r="L49" i="10"/>
  <c r="G69" i="9"/>
  <c r="F27" i="6"/>
  <c r="L88" i="10" s="1"/>
  <c r="K62" i="10"/>
  <c r="K97" i="10"/>
  <c r="K92" i="10"/>
  <c r="K93" i="10"/>
  <c r="K94" i="10"/>
  <c r="G57" i="9" s="1"/>
  <c r="G119" i="5"/>
  <c r="G175" i="5"/>
  <c r="H191" i="9"/>
  <c r="H188" i="9"/>
  <c r="H190" i="9"/>
  <c r="H189" i="9"/>
  <c r="N72" i="10"/>
  <c r="G80" i="10"/>
  <c r="N64" i="10"/>
  <c r="J33" i="5"/>
  <c r="I140" i="5"/>
  <c r="M42" i="10"/>
  <c r="H74" i="9"/>
  <c r="L45" i="10"/>
  <c r="K76" i="1"/>
  <c r="F78" i="1"/>
  <c r="K78" i="1" s="1"/>
  <c r="O76" i="1"/>
  <c r="J78" i="1"/>
  <c r="N78" i="1"/>
  <c r="O57" i="2"/>
  <c r="P57" i="2" s="1"/>
  <c r="N62" i="2"/>
  <c r="O64" i="2"/>
  <c r="N67" i="2"/>
  <c r="O47" i="2"/>
  <c r="H96" i="5"/>
  <c r="H128" i="5" s="1"/>
  <c r="H138" i="5" s="1"/>
  <c r="H153" i="5" s="1"/>
  <c r="H159" i="5" s="1"/>
  <c r="F10" i="6"/>
  <c r="G32" i="9"/>
  <c r="G54" i="9" s="1"/>
  <c r="G96" i="9" s="1"/>
  <c r="G128" i="9" s="1"/>
  <c r="G138" i="9" s="1"/>
  <c r="G153" i="9" s="1"/>
  <c r="G159" i="9" s="1"/>
  <c r="E15" i="6"/>
  <c r="E20" i="6" s="1"/>
  <c r="E25" i="6" s="1"/>
  <c r="N38" i="2"/>
  <c r="N83" i="2" s="1"/>
  <c r="N102" i="2" s="1"/>
  <c r="M24" i="10"/>
  <c r="W24" i="2"/>
  <c r="O24" i="2"/>
  <c r="AB15" i="2"/>
  <c r="I32" i="5"/>
  <c r="I54" i="5" s="1"/>
  <c r="AD24" i="2"/>
  <c r="N15" i="1"/>
  <c r="M63" i="1"/>
  <c r="I80" i="2"/>
  <c r="O49" i="2" l="1"/>
  <c r="P49" i="2" s="1"/>
  <c r="Q49" i="2" s="1"/>
  <c r="L69" i="5" s="1"/>
  <c r="L70" i="5" s="1"/>
  <c r="O88" i="2"/>
  <c r="H17" i="6" s="1"/>
  <c r="N126" i="2"/>
  <c r="N52" i="2"/>
  <c r="N40" i="10"/>
  <c r="L62" i="10"/>
  <c r="N58" i="10"/>
  <c r="N51" i="10"/>
  <c r="N50" i="10"/>
  <c r="N59" i="10"/>
  <c r="N44" i="10"/>
  <c r="N41" i="10"/>
  <c r="N60" i="10"/>
  <c r="Q57" i="2"/>
  <c r="L33" i="5"/>
  <c r="N61" i="10"/>
  <c r="N43" i="10"/>
  <c r="O92" i="2"/>
  <c r="O93" i="2"/>
  <c r="O89" i="2"/>
  <c r="H22" i="6" s="1"/>
  <c r="H28" i="6" s="1"/>
  <c r="N89" i="10" s="1"/>
  <c r="O94" i="2"/>
  <c r="J57" i="5" s="1"/>
  <c r="O97" i="2"/>
  <c r="J56" i="5" s="1"/>
  <c r="N154" i="2"/>
  <c r="O154" i="2"/>
  <c r="P92" i="2"/>
  <c r="P88" i="2"/>
  <c r="P89" i="2"/>
  <c r="P89" i="10" s="1"/>
  <c r="P97" i="2"/>
  <c r="P94" i="2"/>
  <c r="K57" i="5" s="1"/>
  <c r="P93" i="2"/>
  <c r="P87" i="2"/>
  <c r="P62" i="2"/>
  <c r="P69" i="2" s="1"/>
  <c r="Y15" i="10"/>
  <c r="H34" i="5"/>
  <c r="H41" i="5" s="1"/>
  <c r="L148" i="2"/>
  <c r="N90" i="2"/>
  <c r="N112" i="2" s="1"/>
  <c r="N129" i="2" s="1"/>
  <c r="L87" i="10"/>
  <c r="L90" i="10" s="1"/>
  <c r="L122" i="2"/>
  <c r="L136" i="2"/>
  <c r="L137" i="2"/>
  <c r="H130" i="5"/>
  <c r="M145" i="2"/>
  <c r="G22" i="6"/>
  <c r="G28" i="6" s="1"/>
  <c r="M89" i="10" s="1"/>
  <c r="M90" i="2"/>
  <c r="M113" i="2" s="1"/>
  <c r="M134" i="2"/>
  <c r="M144" i="2"/>
  <c r="G55" i="5"/>
  <c r="G58" i="5" s="1"/>
  <c r="G154" i="5" s="1"/>
  <c r="G157" i="5" s="1"/>
  <c r="G163" i="5" s="1"/>
  <c r="AB16" i="2"/>
  <c r="G44" i="5"/>
  <c r="G46" i="5" s="1"/>
  <c r="G35" i="5"/>
  <c r="G37" i="5" s="1"/>
  <c r="G47" i="5" s="1"/>
  <c r="Y16" i="10"/>
  <c r="J27" i="2"/>
  <c r="I27" i="10" s="1"/>
  <c r="H140" i="9"/>
  <c r="L78" i="2"/>
  <c r="I27" i="2"/>
  <c r="H27" i="10" s="1"/>
  <c r="G42" i="5"/>
  <c r="K69" i="10"/>
  <c r="G130" i="9" s="1"/>
  <c r="K54" i="10"/>
  <c r="G129" i="9" s="1"/>
  <c r="G70" i="9"/>
  <c r="I33" i="9"/>
  <c r="H68" i="9"/>
  <c r="M57" i="10"/>
  <c r="O87" i="2"/>
  <c r="H12" i="6"/>
  <c r="H26" i="6" s="1"/>
  <c r="N86" i="10" s="1"/>
  <c r="K96" i="10"/>
  <c r="K98" i="10" s="1"/>
  <c r="H36" i="6"/>
  <c r="M85" i="10"/>
  <c r="L52" i="10"/>
  <c r="L54" i="10" s="1"/>
  <c r="M47" i="10"/>
  <c r="M73" i="10"/>
  <c r="H27" i="2"/>
  <c r="G56" i="9"/>
  <c r="M49" i="10"/>
  <c r="H69" i="9"/>
  <c r="G26" i="6"/>
  <c r="M86" i="10" s="1"/>
  <c r="L94" i="10"/>
  <c r="L93" i="10"/>
  <c r="L97" i="10"/>
  <c r="L92" i="10"/>
  <c r="M65" i="10"/>
  <c r="L67" i="10"/>
  <c r="O72" i="10"/>
  <c r="H188" i="5"/>
  <c r="H191" i="5"/>
  <c r="G178" i="5"/>
  <c r="H190" i="5"/>
  <c r="H189" i="5"/>
  <c r="O64" i="10"/>
  <c r="P64" i="10" s="1"/>
  <c r="K33" i="5"/>
  <c r="J140" i="5"/>
  <c r="N42" i="10"/>
  <c r="I74" i="9"/>
  <c r="I68" i="9" s="1"/>
  <c r="M45" i="10"/>
  <c r="K27" i="2"/>
  <c r="O78" i="1"/>
  <c r="Q47" i="2"/>
  <c r="Q64" i="2"/>
  <c r="Q67" i="2" s="1"/>
  <c r="O67" i="2"/>
  <c r="O62" i="2"/>
  <c r="Q88" i="2"/>
  <c r="Q87" i="2"/>
  <c r="Q134" i="2" s="1"/>
  <c r="Q97" i="2"/>
  <c r="Q94" i="2"/>
  <c r="L57" i="5" s="1"/>
  <c r="Q93" i="2"/>
  <c r="Q89" i="2"/>
  <c r="N69" i="2"/>
  <c r="M38" i="10"/>
  <c r="M83" i="10" s="1"/>
  <c r="M102" i="10" s="1"/>
  <c r="Z15" i="10"/>
  <c r="I96" i="5"/>
  <c r="I128" i="5" s="1"/>
  <c r="I138" i="5" s="1"/>
  <c r="I153" i="5" s="1"/>
  <c r="I159" i="5" s="1"/>
  <c r="G10" i="6"/>
  <c r="N63" i="1"/>
  <c r="O15" i="1"/>
  <c r="O63" i="1" s="1"/>
  <c r="J32" i="5"/>
  <c r="J54" i="5" s="1"/>
  <c r="AE24" i="2"/>
  <c r="O38" i="2"/>
  <c r="O83" i="2" s="1"/>
  <c r="O102" i="2" s="1"/>
  <c r="N24" i="10"/>
  <c r="AC15" i="2"/>
  <c r="X24" i="2"/>
  <c r="E31" i="6"/>
  <c r="E33" i="6"/>
  <c r="H32" i="9"/>
  <c r="H54" i="9" s="1"/>
  <c r="H96" i="9" s="1"/>
  <c r="H128" i="9" s="1"/>
  <c r="H138" i="9" s="1"/>
  <c r="H153" i="9" s="1"/>
  <c r="H159" i="9" s="1"/>
  <c r="F15" i="6"/>
  <c r="F20" i="6" s="1"/>
  <c r="F25" i="6" s="1"/>
  <c r="O52" i="2" l="1"/>
  <c r="O126" i="2"/>
  <c r="P126" i="2"/>
  <c r="P52" i="2"/>
  <c r="J69" i="5"/>
  <c r="K69" i="5"/>
  <c r="L69" i="10"/>
  <c r="O40" i="10"/>
  <c r="P40" i="10" s="1"/>
  <c r="G60" i="5"/>
  <c r="G61" i="5" s="1"/>
  <c r="G66" i="5" s="1"/>
  <c r="K12" i="6"/>
  <c r="H57" i="9"/>
  <c r="N121" i="2"/>
  <c r="N122" i="2" s="1"/>
  <c r="O51" i="10"/>
  <c r="N45" i="10"/>
  <c r="O43" i="10"/>
  <c r="O60" i="10"/>
  <c r="O44" i="10"/>
  <c r="O58" i="10"/>
  <c r="K56" i="5"/>
  <c r="O41" i="10"/>
  <c r="O59" i="10"/>
  <c r="L56" i="5"/>
  <c r="O61" i="10"/>
  <c r="I17" i="6"/>
  <c r="I27" i="6" s="1"/>
  <c r="O88" i="10" s="1"/>
  <c r="P88" i="10"/>
  <c r="O50" i="10"/>
  <c r="M62" i="10"/>
  <c r="G27" i="10"/>
  <c r="P27" i="2"/>
  <c r="N96" i="2"/>
  <c r="N98" i="2" s="1"/>
  <c r="N76" i="2" s="1"/>
  <c r="N135" i="2"/>
  <c r="P144" i="2"/>
  <c r="P145" i="2"/>
  <c r="P134" i="2"/>
  <c r="P90" i="2"/>
  <c r="P154" i="2"/>
  <c r="G139" i="9"/>
  <c r="G141" i="9" s="1"/>
  <c r="G142" i="9" s="1"/>
  <c r="G143" i="9" s="1"/>
  <c r="N113" i="2"/>
  <c r="H40" i="5"/>
  <c r="H42" i="5" s="1"/>
  <c r="M112" i="2"/>
  <c r="M129" i="2" s="1"/>
  <c r="M121" i="2"/>
  <c r="M135" i="2"/>
  <c r="M96" i="2"/>
  <c r="M98" i="2" s="1"/>
  <c r="Q154" i="2"/>
  <c r="O90" i="2"/>
  <c r="O113" i="2" s="1"/>
  <c r="O134" i="2"/>
  <c r="N144" i="2"/>
  <c r="N145" i="2"/>
  <c r="AC16" i="2"/>
  <c r="Q126" i="2"/>
  <c r="G49" i="5"/>
  <c r="G97" i="5" s="1"/>
  <c r="G98" i="5" s="1"/>
  <c r="G161" i="5" s="1"/>
  <c r="G165" i="5" s="1"/>
  <c r="Z16" i="10"/>
  <c r="M87" i="10"/>
  <c r="M90" i="10" s="1"/>
  <c r="G131" i="9"/>
  <c r="G132" i="9" s="1"/>
  <c r="G133" i="9" s="1"/>
  <c r="Q52" i="2"/>
  <c r="N57" i="10"/>
  <c r="H70" i="9"/>
  <c r="AF28" i="2"/>
  <c r="O69" i="2"/>
  <c r="O145" i="2" s="1"/>
  <c r="J33" i="9"/>
  <c r="G44" i="9"/>
  <c r="G46" i="9" s="1"/>
  <c r="I140" i="9"/>
  <c r="H130" i="9"/>
  <c r="H139" i="9"/>
  <c r="H141" i="9" s="1"/>
  <c r="H142" i="9" s="1"/>
  <c r="H143" i="9" s="1"/>
  <c r="H129" i="9"/>
  <c r="K75" i="10"/>
  <c r="K76" i="10" s="1"/>
  <c r="G55" i="9"/>
  <c r="G58" i="9" s="1"/>
  <c r="N49" i="10"/>
  <c r="I69" i="9"/>
  <c r="I70" i="9" s="1"/>
  <c r="L96" i="10"/>
  <c r="L98" i="10" s="1"/>
  <c r="N73" i="10"/>
  <c r="I22" i="6"/>
  <c r="I28" i="6" s="1"/>
  <c r="O89" i="10" s="1"/>
  <c r="M27" i="2"/>
  <c r="AC28" i="2" s="1"/>
  <c r="J27" i="10"/>
  <c r="G35" i="9"/>
  <c r="G37" i="9" s="1"/>
  <c r="G47" i="9" s="1"/>
  <c r="M94" i="10"/>
  <c r="M93" i="10"/>
  <c r="M97" i="10"/>
  <c r="M92" i="10"/>
  <c r="N65" i="10"/>
  <c r="M67" i="10"/>
  <c r="M69" i="10" s="1"/>
  <c r="H56" i="9"/>
  <c r="M52" i="10"/>
  <c r="M54" i="10" s="1"/>
  <c r="N47" i="10"/>
  <c r="I36" i="6"/>
  <c r="N85" i="10"/>
  <c r="H27" i="6"/>
  <c r="N88" i="10" s="1"/>
  <c r="I130" i="5"/>
  <c r="Q62" i="2"/>
  <c r="K140" i="5"/>
  <c r="O42" i="10"/>
  <c r="J74" i="9"/>
  <c r="J68" i="9" s="1"/>
  <c r="O27" i="2"/>
  <c r="AE28" i="2" s="1"/>
  <c r="L27" i="2"/>
  <c r="AB28" i="2" s="1"/>
  <c r="N27" i="2"/>
  <c r="AD28" i="2" s="1"/>
  <c r="Q90" i="2"/>
  <c r="G15" i="6"/>
  <c r="G20" i="6" s="1"/>
  <c r="G25" i="6" s="1"/>
  <c r="I32" i="9"/>
  <c r="I54" i="9" s="1"/>
  <c r="I96" i="9" s="1"/>
  <c r="I128" i="9" s="1"/>
  <c r="I138" i="9" s="1"/>
  <c r="I153" i="9" s="1"/>
  <c r="I159" i="9" s="1"/>
  <c r="K54" i="5"/>
  <c r="AF24" i="2"/>
  <c r="AD15" i="2"/>
  <c r="Q38" i="2"/>
  <c r="Q83" i="2" s="1"/>
  <c r="Q102" i="2" s="1"/>
  <c r="H10" i="6"/>
  <c r="J96" i="5"/>
  <c r="J128" i="5" s="1"/>
  <c r="J138" i="5" s="1"/>
  <c r="J153" i="5" s="1"/>
  <c r="J159" i="5" s="1"/>
  <c r="N38" i="10"/>
  <c r="N83" i="10" s="1"/>
  <c r="N102" i="10" s="1"/>
  <c r="AA15" i="10"/>
  <c r="F31" i="6"/>
  <c r="F33" i="6"/>
  <c r="I55" i="5" l="1"/>
  <c r="I58" i="5" s="1"/>
  <c r="I154" i="5" s="1"/>
  <c r="I157" i="5" s="1"/>
  <c r="I163" i="5" s="1"/>
  <c r="N136" i="2"/>
  <c r="I44" i="5"/>
  <c r="P58" i="10"/>
  <c r="K33" i="9"/>
  <c r="P44" i="10"/>
  <c r="P59" i="10"/>
  <c r="P43" i="10"/>
  <c r="P60" i="10"/>
  <c r="P51" i="10"/>
  <c r="P50" i="10"/>
  <c r="P41" i="10"/>
  <c r="I57" i="9"/>
  <c r="P61" i="10"/>
  <c r="K74" i="9"/>
  <c r="K68" i="9" s="1"/>
  <c r="P42" i="10"/>
  <c r="O85" i="10"/>
  <c r="O92" i="10" s="1"/>
  <c r="J36" i="6"/>
  <c r="P85" i="10" s="1"/>
  <c r="P121" i="2"/>
  <c r="P122" i="2" s="1"/>
  <c r="P113" i="2"/>
  <c r="P96" i="2"/>
  <c r="P112" i="2"/>
  <c r="P135" i="2"/>
  <c r="G160" i="5"/>
  <c r="AD16" i="2"/>
  <c r="H35" i="5"/>
  <c r="H37" i="5" s="1"/>
  <c r="H47" i="5" s="1"/>
  <c r="O96" i="2"/>
  <c r="O98" i="2" s="1"/>
  <c r="J55" i="5" s="1"/>
  <c r="J58" i="5" s="1"/>
  <c r="J154" i="5" s="1"/>
  <c r="J157" i="5" s="1"/>
  <c r="J163" i="5" s="1"/>
  <c r="J34" i="5"/>
  <c r="J41" i="5" s="1"/>
  <c r="N148" i="2"/>
  <c r="O144" i="2"/>
  <c r="M122" i="2"/>
  <c r="M136" i="2"/>
  <c r="H44" i="5"/>
  <c r="H46" i="5" s="1"/>
  <c r="J130" i="5"/>
  <c r="O121" i="2"/>
  <c r="O122" i="2" s="1"/>
  <c r="O112" i="2"/>
  <c r="O129" i="2" s="1"/>
  <c r="O135" i="2"/>
  <c r="M76" i="2"/>
  <c r="M78" i="2" s="1"/>
  <c r="N137" i="2"/>
  <c r="Q121" i="2"/>
  <c r="Q112" i="2"/>
  <c r="Q129" i="2" s="1"/>
  <c r="Q135" i="2"/>
  <c r="Q69" i="2"/>
  <c r="Q144" i="2" s="1"/>
  <c r="H55" i="5"/>
  <c r="H58" i="5" s="1"/>
  <c r="H154" i="5" s="1"/>
  <c r="H157" i="5" s="1"/>
  <c r="H163" i="5" s="1"/>
  <c r="AA16" i="10"/>
  <c r="I60" i="5"/>
  <c r="I61" i="5" s="1"/>
  <c r="I66" i="5" s="1"/>
  <c r="N78" i="2"/>
  <c r="Q96" i="2"/>
  <c r="Q113" i="2"/>
  <c r="O57" i="10"/>
  <c r="J140" i="9"/>
  <c r="N62" i="10"/>
  <c r="H44" i="9"/>
  <c r="G49" i="9"/>
  <c r="G97" i="9" s="1"/>
  <c r="G98" i="9" s="1"/>
  <c r="G161" i="9" s="1"/>
  <c r="K17" i="6"/>
  <c r="I129" i="9"/>
  <c r="I139" i="9"/>
  <c r="I141" i="9" s="1"/>
  <c r="I142" i="9" s="1"/>
  <c r="I143" i="9" s="1"/>
  <c r="M96" i="10"/>
  <c r="I44" i="9" s="1"/>
  <c r="H131" i="9"/>
  <c r="H132" i="9" s="1"/>
  <c r="H133" i="9" s="1"/>
  <c r="I130" i="9"/>
  <c r="N93" i="10"/>
  <c r="N94" i="10"/>
  <c r="N97" i="10"/>
  <c r="N92" i="10"/>
  <c r="O65" i="10"/>
  <c r="N67" i="10"/>
  <c r="N87" i="10"/>
  <c r="N90" i="10" s="1"/>
  <c r="I56" i="9"/>
  <c r="O73" i="10"/>
  <c r="K22" i="6"/>
  <c r="N52" i="10"/>
  <c r="N54" i="10" s="1"/>
  <c r="O47" i="10"/>
  <c r="P47" i="10" s="1"/>
  <c r="I26" i="6"/>
  <c r="G60" i="9"/>
  <c r="G61" i="9" s="1"/>
  <c r="G66" i="9" s="1"/>
  <c r="G72" i="9" s="1"/>
  <c r="G100" i="9" s="1"/>
  <c r="G154" i="9"/>
  <c r="G157" i="9" s="1"/>
  <c r="G163" i="9" s="1"/>
  <c r="L75" i="10"/>
  <c r="H55" i="9"/>
  <c r="H58" i="9" s="1"/>
  <c r="O49" i="10"/>
  <c r="J69" i="9"/>
  <c r="J70" i="9" s="1"/>
  <c r="H34" i="9"/>
  <c r="K78" i="10"/>
  <c r="K80" i="10" s="1"/>
  <c r="O45" i="10"/>
  <c r="I10" i="6"/>
  <c r="K96" i="5"/>
  <c r="K128" i="5" s="1"/>
  <c r="K138" i="5" s="1"/>
  <c r="K153" i="5" s="1"/>
  <c r="K159" i="5" s="1"/>
  <c r="H15" i="6"/>
  <c r="H20" i="6" s="1"/>
  <c r="H25" i="6" s="1"/>
  <c r="J32" i="9"/>
  <c r="J54" i="9" s="1"/>
  <c r="J96" i="9" s="1"/>
  <c r="J128" i="9" s="1"/>
  <c r="J138" i="9" s="1"/>
  <c r="J153" i="9" s="1"/>
  <c r="J159" i="9" s="1"/>
  <c r="AB15" i="10"/>
  <c r="O38" i="10"/>
  <c r="O83" i="10" s="1"/>
  <c r="O102" i="10" s="1"/>
  <c r="G33" i="6"/>
  <c r="G31" i="6"/>
  <c r="O93" i="10" l="1"/>
  <c r="O97" i="10"/>
  <c r="L76" i="10"/>
  <c r="L78" i="10" s="1"/>
  <c r="L80" i="10" s="1"/>
  <c r="J57" i="9"/>
  <c r="P98" i="2"/>
  <c r="K55" i="5" s="1"/>
  <c r="K58" i="5" s="1"/>
  <c r="K44" i="5"/>
  <c r="O87" i="10"/>
  <c r="O90" i="10" s="1"/>
  <c r="P45" i="10"/>
  <c r="O94" i="10"/>
  <c r="P73" i="10"/>
  <c r="Q98" i="2"/>
  <c r="L55" i="5" s="1"/>
  <c r="L58" i="5" s="1"/>
  <c r="L44" i="5"/>
  <c r="K69" i="9"/>
  <c r="K70" i="9" s="1"/>
  <c r="P49" i="10"/>
  <c r="K140" i="9"/>
  <c r="L33" i="9"/>
  <c r="P57" i="10"/>
  <c r="O67" i="10"/>
  <c r="P65" i="10"/>
  <c r="P67" i="10" s="1"/>
  <c r="P87" i="10"/>
  <c r="P90" i="10" s="1"/>
  <c r="P94" i="10"/>
  <c r="P92" i="10"/>
  <c r="P93" i="10"/>
  <c r="P97" i="10"/>
  <c r="L74" i="9"/>
  <c r="L68" i="9" s="1"/>
  <c r="P76" i="2"/>
  <c r="L34" i="5" s="1"/>
  <c r="P129" i="2"/>
  <c r="H49" i="5"/>
  <c r="H97" i="5" s="1"/>
  <c r="H98" i="5" s="1"/>
  <c r="H161" i="5" s="1"/>
  <c r="H165" i="5" s="1"/>
  <c r="AB16" i="10"/>
  <c r="J40" i="5"/>
  <c r="J42" i="5" s="1"/>
  <c r="O136" i="2"/>
  <c r="O76" i="2"/>
  <c r="K34" i="5" s="1"/>
  <c r="K35" i="5" s="1"/>
  <c r="J35" i="5"/>
  <c r="J37" i="5" s="1"/>
  <c r="J47" i="5" s="1"/>
  <c r="J44" i="5"/>
  <c r="M137" i="2"/>
  <c r="H60" i="5"/>
  <c r="H61" i="5" s="1"/>
  <c r="H66" i="5" s="1"/>
  <c r="I34" i="5"/>
  <c r="M148" i="2"/>
  <c r="K130" i="5"/>
  <c r="Q145" i="2"/>
  <c r="Q122" i="2"/>
  <c r="J60" i="5"/>
  <c r="J61" i="5" s="1"/>
  <c r="J66" i="5" s="1"/>
  <c r="O62" i="10"/>
  <c r="Q76" i="2"/>
  <c r="N69" i="10"/>
  <c r="J130" i="9" s="1"/>
  <c r="G160" i="9"/>
  <c r="G103" i="9"/>
  <c r="N96" i="10"/>
  <c r="N98" i="10" s="1"/>
  <c r="J55" i="9" s="1"/>
  <c r="I131" i="9"/>
  <c r="I132" i="9" s="1"/>
  <c r="I133" i="9" s="1"/>
  <c r="M98" i="10"/>
  <c r="M75" i="10" s="1"/>
  <c r="H154" i="9"/>
  <c r="H157" i="9" s="1"/>
  <c r="H163" i="9" s="1"/>
  <c r="H60" i="9"/>
  <c r="H61" i="9" s="1"/>
  <c r="H66" i="9" s="1"/>
  <c r="H72" i="9" s="1"/>
  <c r="H100" i="9" s="1"/>
  <c r="O52" i="10"/>
  <c r="O54" i="10" s="1"/>
  <c r="H40" i="9"/>
  <c r="H41" i="9"/>
  <c r="H35" i="9"/>
  <c r="H37" i="9" s="1"/>
  <c r="J129" i="9"/>
  <c r="J139" i="9"/>
  <c r="J141" i="9" s="1"/>
  <c r="J142" i="9" s="1"/>
  <c r="J143" i="9" s="1"/>
  <c r="G165" i="9"/>
  <c r="J56" i="9"/>
  <c r="H33" i="6"/>
  <c r="H31" i="6"/>
  <c r="K32" i="9"/>
  <c r="K54" i="9" s="1"/>
  <c r="I15" i="6"/>
  <c r="I20" i="6" s="1"/>
  <c r="I25" i="6" s="1"/>
  <c r="L41" i="5" l="1"/>
  <c r="L40" i="5"/>
  <c r="L42" i="5" s="1"/>
  <c r="K37" i="5"/>
  <c r="L35" i="5"/>
  <c r="L37" i="5" s="1"/>
  <c r="K56" i="9"/>
  <c r="Q137" i="2"/>
  <c r="Q136" i="2"/>
  <c r="I34" i="9"/>
  <c r="I40" i="9" s="1"/>
  <c r="P136" i="2"/>
  <c r="L69" i="9"/>
  <c r="L70" i="9" s="1"/>
  <c r="K57" i="9"/>
  <c r="M76" i="10"/>
  <c r="M78" i="10" s="1"/>
  <c r="M80" i="10" s="1"/>
  <c r="L57" i="9"/>
  <c r="O96" i="10"/>
  <c r="O98" i="10" s="1"/>
  <c r="L154" i="5"/>
  <c r="L157" i="5" s="1"/>
  <c r="L163" i="5" s="1"/>
  <c r="L60" i="5"/>
  <c r="L61" i="5" s="1"/>
  <c r="L66" i="5" s="1"/>
  <c r="L72" i="5" s="1"/>
  <c r="P62" i="10"/>
  <c r="P69" i="10" s="1"/>
  <c r="L140" i="9"/>
  <c r="L56" i="9"/>
  <c r="P96" i="10"/>
  <c r="O69" i="10"/>
  <c r="K130" i="9" s="1"/>
  <c r="P52" i="10"/>
  <c r="P54" i="10" s="1"/>
  <c r="L129" i="9" s="1"/>
  <c r="K154" i="5"/>
  <c r="K157" i="5" s="1"/>
  <c r="K163" i="5" s="1"/>
  <c r="K60" i="5"/>
  <c r="K61" i="5" s="1"/>
  <c r="K66" i="5" s="1"/>
  <c r="J46" i="5"/>
  <c r="J49" i="5" s="1"/>
  <c r="J97" i="5" s="1"/>
  <c r="J160" i="5" s="1"/>
  <c r="H160" i="5"/>
  <c r="P137" i="2"/>
  <c r="P148" i="2"/>
  <c r="P78" i="2"/>
  <c r="O137" i="2"/>
  <c r="O148" i="2"/>
  <c r="O78" i="2"/>
  <c r="I41" i="5"/>
  <c r="I40" i="5"/>
  <c r="I35" i="5"/>
  <c r="I37" i="5" s="1"/>
  <c r="Q78" i="2"/>
  <c r="Q148" i="2"/>
  <c r="K40" i="5"/>
  <c r="K41" i="5"/>
  <c r="J131" i="9"/>
  <c r="J132" i="9" s="1"/>
  <c r="J133" i="9" s="1"/>
  <c r="N75" i="10"/>
  <c r="I55" i="9"/>
  <c r="I58" i="9" s="1"/>
  <c r="I154" i="9" s="1"/>
  <c r="I157" i="9" s="1"/>
  <c r="I163" i="9" s="1"/>
  <c r="J44" i="9"/>
  <c r="K139" i="9"/>
  <c r="K141" i="9" s="1"/>
  <c r="K129" i="9"/>
  <c r="H42" i="9"/>
  <c r="H46" i="9"/>
  <c r="I35" i="9"/>
  <c r="I37" i="9" s="1"/>
  <c r="J58" i="9"/>
  <c r="H47" i="9"/>
  <c r="I31" i="6"/>
  <c r="I33" i="6"/>
  <c r="K96" i="9"/>
  <c r="K128" i="9" s="1"/>
  <c r="K138" i="9" s="1"/>
  <c r="K153" i="9" s="1"/>
  <c r="K159" i="9" s="1"/>
  <c r="J34" i="9" l="1"/>
  <c r="L47" i="5"/>
  <c r="K44" i="9"/>
  <c r="K47" i="5"/>
  <c r="L46" i="5"/>
  <c r="I41" i="9"/>
  <c r="I42" i="9" s="1"/>
  <c r="K80" i="5"/>
  <c r="L100" i="5"/>
  <c r="N76" i="10"/>
  <c r="N78" i="10" s="1"/>
  <c r="N80" i="10" s="1"/>
  <c r="P98" i="10"/>
  <c r="P75" i="10" s="1"/>
  <c r="L44" i="9"/>
  <c r="K131" i="9"/>
  <c r="K132" i="9" s="1"/>
  <c r="K133" i="9" s="1"/>
  <c r="L139" i="9"/>
  <c r="L141" i="9" s="1"/>
  <c r="L142" i="9" s="1"/>
  <c r="L143" i="9" s="1"/>
  <c r="L130" i="9"/>
  <c r="I47" i="5"/>
  <c r="I42" i="5"/>
  <c r="I46" i="5"/>
  <c r="K42" i="5"/>
  <c r="K46" i="5"/>
  <c r="I60" i="9"/>
  <c r="I61" i="9" s="1"/>
  <c r="I66" i="9" s="1"/>
  <c r="I72" i="9" s="1"/>
  <c r="I100" i="9" s="1"/>
  <c r="O75" i="10"/>
  <c r="K55" i="9"/>
  <c r="K58" i="9" s="1"/>
  <c r="H49" i="9"/>
  <c r="H97" i="9" s="1"/>
  <c r="J40" i="9"/>
  <c r="J41" i="9"/>
  <c r="J35" i="9"/>
  <c r="J37" i="9" s="1"/>
  <c r="J60" i="9"/>
  <c r="J61" i="9" s="1"/>
  <c r="J66" i="9" s="1"/>
  <c r="J72" i="9" s="1"/>
  <c r="J100" i="9" s="1"/>
  <c r="J154" i="9"/>
  <c r="J157" i="9" s="1"/>
  <c r="J163" i="9" s="1"/>
  <c r="I46" i="9"/>
  <c r="G189" i="9"/>
  <c r="K142" i="9"/>
  <c r="K143" i="9" s="1"/>
  <c r="M40" i="2"/>
  <c r="I47" i="9" l="1"/>
  <c r="K49" i="5"/>
  <c r="L49" i="5"/>
  <c r="K81" i="5" s="1"/>
  <c r="K86" i="5" s="1"/>
  <c r="L97" i="5"/>
  <c r="L160" i="5" s="1"/>
  <c r="K34" i="9"/>
  <c r="K35" i="9" s="1"/>
  <c r="K37" i="9" s="1"/>
  <c r="K97" i="5"/>
  <c r="K160" i="5" s="1"/>
  <c r="P76" i="10"/>
  <c r="P78" i="10" s="1"/>
  <c r="P80" i="10" s="1"/>
  <c r="O76" i="10"/>
  <c r="O78" i="10" s="1"/>
  <c r="O80" i="10" s="1"/>
  <c r="L55" i="9"/>
  <c r="L58" i="9" s="1"/>
  <c r="L157" i="9" s="1"/>
  <c r="L163" i="9" s="1"/>
  <c r="G188" i="9"/>
  <c r="I188" i="9" s="1"/>
  <c r="L131" i="9"/>
  <c r="L132" i="9" s="1"/>
  <c r="L133" i="9" s="1"/>
  <c r="I49" i="5"/>
  <c r="I97" i="5" s="1"/>
  <c r="I98" i="5" s="1"/>
  <c r="L152" i="2"/>
  <c r="L151" i="2"/>
  <c r="L150" i="2"/>
  <c r="L123" i="2"/>
  <c r="J46" i="9"/>
  <c r="J42" i="9"/>
  <c r="I189" i="9"/>
  <c r="J189" i="9"/>
  <c r="H160" i="9"/>
  <c r="H98" i="9"/>
  <c r="I49" i="9"/>
  <c r="I97" i="9" s="1"/>
  <c r="I160" i="9" s="1"/>
  <c r="J47" i="9"/>
  <c r="K60" i="9"/>
  <c r="K61" i="9" s="1"/>
  <c r="K66" i="9" s="1"/>
  <c r="K72" i="9" s="1"/>
  <c r="K154" i="9"/>
  <c r="K157" i="9" s="1"/>
  <c r="K163" i="9" s="1"/>
  <c r="G74" i="5"/>
  <c r="G68" i="5" s="1"/>
  <c r="G70" i="5" s="1"/>
  <c r="G72" i="5" s="1"/>
  <c r="G100" i="5" s="1"/>
  <c r="G103" i="5" s="1"/>
  <c r="N40" i="2"/>
  <c r="L45" i="2"/>
  <c r="K40" i="9" l="1"/>
  <c r="K46" i="9" s="1"/>
  <c r="K41" i="9"/>
  <c r="K47" i="9" s="1"/>
  <c r="K49" i="9" s="1"/>
  <c r="J188" i="9"/>
  <c r="L188" i="9" s="1"/>
  <c r="L34" i="9"/>
  <c r="L40" i="9" s="1"/>
  <c r="L153" i="2"/>
  <c r="L60" i="9"/>
  <c r="L61" i="9" s="1"/>
  <c r="L66" i="9" s="1"/>
  <c r="L72" i="9" s="1"/>
  <c r="L100" i="9" s="1"/>
  <c r="Q190" i="9"/>
  <c r="K91" i="5"/>
  <c r="M45" i="2"/>
  <c r="M140" i="2" s="1"/>
  <c r="I160" i="5"/>
  <c r="M152" i="2"/>
  <c r="L141" i="2"/>
  <c r="L140" i="2"/>
  <c r="L139" i="2"/>
  <c r="L124" i="2"/>
  <c r="L125" i="2" s="1"/>
  <c r="L130" i="2"/>
  <c r="I161" i="5"/>
  <c r="I165" i="5" s="1"/>
  <c r="J98" i="5"/>
  <c r="K42" i="9"/>
  <c r="M123" i="2"/>
  <c r="M151" i="2"/>
  <c r="M150" i="2"/>
  <c r="H74" i="5"/>
  <c r="H68" i="5" s="1"/>
  <c r="H70" i="5" s="1"/>
  <c r="H72" i="5" s="1"/>
  <c r="H100" i="5" s="1"/>
  <c r="H103" i="5" s="1"/>
  <c r="L54" i="2"/>
  <c r="L80" i="2" s="1"/>
  <c r="L114" i="2"/>
  <c r="H103" i="9"/>
  <c r="H161" i="9"/>
  <c r="H165" i="9" s="1"/>
  <c r="I98" i="9"/>
  <c r="J49" i="9"/>
  <c r="J97" i="9" s="1"/>
  <c r="J160" i="9" s="1"/>
  <c r="K100" i="9"/>
  <c r="L189" i="9"/>
  <c r="H201" i="9"/>
  <c r="K201" i="9" s="1"/>
  <c r="O40" i="2"/>
  <c r="P40" i="2" s="1"/>
  <c r="Q40" i="2" s="1"/>
  <c r="H200" i="9" l="1"/>
  <c r="K200" i="9" s="1"/>
  <c r="K80" i="9"/>
  <c r="K90" i="9" s="1"/>
  <c r="L41" i="9"/>
  <c r="L35" i="9"/>
  <c r="L37" i="9" s="1"/>
  <c r="K85" i="9"/>
  <c r="M153" i="2"/>
  <c r="L46" i="9"/>
  <c r="L111" i="2"/>
  <c r="M54" i="2"/>
  <c r="M80" i="2" s="1"/>
  <c r="O123" i="2"/>
  <c r="P152" i="2"/>
  <c r="P151" i="2"/>
  <c r="P150" i="2"/>
  <c r="P45" i="2"/>
  <c r="N152" i="2"/>
  <c r="M141" i="2"/>
  <c r="I74" i="5"/>
  <c r="I68" i="5" s="1"/>
  <c r="I70" i="5" s="1"/>
  <c r="I72" i="5" s="1"/>
  <c r="I100" i="5" s="1"/>
  <c r="I103" i="5" s="1"/>
  <c r="M139" i="2"/>
  <c r="M114" i="2"/>
  <c r="K97" i="9"/>
  <c r="K160" i="9" s="1"/>
  <c r="G129" i="5"/>
  <c r="G131" i="5" s="1"/>
  <c r="G132" i="5" s="1"/>
  <c r="G133" i="5" s="1"/>
  <c r="L149" i="2"/>
  <c r="L143" i="2"/>
  <c r="G139" i="5"/>
  <c r="G141" i="5" s="1"/>
  <c r="G142" i="5" s="1"/>
  <c r="G143" i="5" s="1"/>
  <c r="J161" i="5"/>
  <c r="J165" i="5" s="1"/>
  <c r="K98" i="5"/>
  <c r="M124" i="2"/>
  <c r="M125" i="2" s="1"/>
  <c r="M130" i="2"/>
  <c r="Q152" i="2"/>
  <c r="O152" i="2"/>
  <c r="N123" i="2"/>
  <c r="N151" i="2"/>
  <c r="N150" i="2"/>
  <c r="N45" i="2"/>
  <c r="N54" i="2" s="1"/>
  <c r="J98" i="9"/>
  <c r="I161" i="9"/>
  <c r="I165" i="9" s="1"/>
  <c r="I103" i="9"/>
  <c r="J74" i="5"/>
  <c r="L47" i="9" l="1"/>
  <c r="L49" i="9" s="1"/>
  <c r="L42" i="9"/>
  <c r="H139" i="5"/>
  <c r="H141" i="5" s="1"/>
  <c r="H142" i="5" s="1"/>
  <c r="H143" i="5" s="1"/>
  <c r="H129" i="5"/>
  <c r="H131" i="5" s="1"/>
  <c r="H132" i="5" s="1"/>
  <c r="H133" i="5" s="1"/>
  <c r="P153" i="2"/>
  <c r="M143" i="2"/>
  <c r="M149" i="2"/>
  <c r="J68" i="5"/>
  <c r="J70" i="5" s="1"/>
  <c r="J72" i="5" s="1"/>
  <c r="J100" i="5" s="1"/>
  <c r="J103" i="5" s="1"/>
  <c r="M111" i="2"/>
  <c r="K161" i="5"/>
  <c r="K165" i="5" s="1"/>
  <c r="L98" i="5"/>
  <c r="O150" i="2"/>
  <c r="O45" i="2"/>
  <c r="O141" i="2" s="1"/>
  <c r="O151" i="2"/>
  <c r="O153" i="2" s="1"/>
  <c r="P123" i="2"/>
  <c r="P124" i="2" s="1"/>
  <c r="P125" i="2" s="1"/>
  <c r="N153" i="2"/>
  <c r="P140" i="2"/>
  <c r="P54" i="2"/>
  <c r="P141" i="2"/>
  <c r="P139" i="2"/>
  <c r="P114" i="2"/>
  <c r="N80" i="2"/>
  <c r="I129" i="5"/>
  <c r="I131" i="5" s="1"/>
  <c r="I132" i="5" s="1"/>
  <c r="I133" i="5" s="1"/>
  <c r="N140" i="2"/>
  <c r="N139" i="2"/>
  <c r="N141" i="2"/>
  <c r="N124" i="2"/>
  <c r="N125" i="2" s="1"/>
  <c r="N130" i="2"/>
  <c r="I139" i="5"/>
  <c r="I141" i="5" s="1"/>
  <c r="I142" i="5" s="1"/>
  <c r="I143" i="5" s="1"/>
  <c r="Q151" i="2"/>
  <c r="Q153" i="2" s="1"/>
  <c r="Q150" i="2"/>
  <c r="N111" i="2"/>
  <c r="N114" i="2"/>
  <c r="N149" i="2"/>
  <c r="N143" i="2"/>
  <c r="O124" i="2"/>
  <c r="O125" i="2" s="1"/>
  <c r="O130" i="2"/>
  <c r="K68" i="5"/>
  <c r="K70" i="5" s="1"/>
  <c r="K72" i="5" s="1"/>
  <c r="K100" i="5" s="1"/>
  <c r="K103" i="5" s="1"/>
  <c r="Q123" i="2"/>
  <c r="J161" i="9"/>
  <c r="J165" i="9" s="1"/>
  <c r="K98" i="9"/>
  <c r="J103" i="9"/>
  <c r="Q45" i="2"/>
  <c r="G106" i="5" l="1"/>
  <c r="O54" i="2"/>
  <c r="O143" i="2" s="1"/>
  <c r="O140" i="2"/>
  <c r="O139" i="2"/>
  <c r="L161" i="5"/>
  <c r="L165" i="5" s="1"/>
  <c r="G167" i="5" s="1"/>
  <c r="G169" i="5" s="1"/>
  <c r="G173" i="5" s="1"/>
  <c r="G179" i="5" s="1"/>
  <c r="G180" i="5" s="1"/>
  <c r="L103" i="5"/>
  <c r="O114" i="2"/>
  <c r="L97" i="9"/>
  <c r="L160" i="9" s="1"/>
  <c r="K81" i="9"/>
  <c r="P130" i="2"/>
  <c r="P149" i="2"/>
  <c r="P143" i="2"/>
  <c r="P111" i="2"/>
  <c r="P80" i="2"/>
  <c r="Q141" i="2"/>
  <c r="Q140" i="2"/>
  <c r="Q139" i="2"/>
  <c r="Q124" i="2"/>
  <c r="Q125" i="2" s="1"/>
  <c r="Q130" i="2"/>
  <c r="J129" i="5"/>
  <c r="J131" i="5" s="1"/>
  <c r="J132" i="5" s="1"/>
  <c r="J133" i="5" s="1"/>
  <c r="Q54" i="2"/>
  <c r="Q114" i="2"/>
  <c r="K161" i="9"/>
  <c r="K165" i="9" s="1"/>
  <c r="K103" i="9"/>
  <c r="K85" i="5"/>
  <c r="K87" i="5" s="1"/>
  <c r="K90" i="5"/>
  <c r="K93" i="5" s="1"/>
  <c r="O149" i="2" l="1"/>
  <c r="O80" i="2"/>
  <c r="J139" i="5"/>
  <c r="J141" i="5" s="1"/>
  <c r="J142" i="5" s="1"/>
  <c r="J143" i="5" s="1"/>
  <c r="G117" i="2"/>
  <c r="O111" i="2"/>
  <c r="G190" i="5"/>
  <c r="J190" i="5" s="1"/>
  <c r="L190" i="5" s="1"/>
  <c r="L98" i="9"/>
  <c r="L103" i="9" s="1"/>
  <c r="G106" i="9" s="1"/>
  <c r="K86" i="9"/>
  <c r="K87" i="9" s="1"/>
  <c r="K91" i="9"/>
  <c r="K93" i="9" s="1"/>
  <c r="L101" i="9" s="1"/>
  <c r="K104" i="5"/>
  <c r="G107" i="5" s="1"/>
  <c r="G108" i="5" s="1"/>
  <c r="G110" i="5" s="1"/>
  <c r="G114" i="5" s="1"/>
  <c r="G191" i="5" s="1"/>
  <c r="L101" i="5"/>
  <c r="Q80" i="2"/>
  <c r="Q149" i="2"/>
  <c r="Q143" i="2"/>
  <c r="K129" i="5"/>
  <c r="K131" i="5" s="1"/>
  <c r="K132" i="5" s="1"/>
  <c r="K133" i="5" s="1"/>
  <c r="K139" i="5"/>
  <c r="K141" i="5" s="1"/>
  <c r="K142" i="5" s="1"/>
  <c r="K143" i="5" s="1"/>
  <c r="Q111" i="2"/>
  <c r="G190" i="9"/>
  <c r="L104" i="9" l="1"/>
  <c r="G108" i="9" s="1"/>
  <c r="G110" i="9" s="1"/>
  <c r="G114" i="9" s="1"/>
  <c r="G120" i="9" s="1"/>
  <c r="G121" i="9" s="1"/>
  <c r="G116" i="2"/>
  <c r="G118" i="2" s="1"/>
  <c r="I190" i="5"/>
  <c r="G202" i="9"/>
  <c r="L161" i="9"/>
  <c r="L165" i="9" s="1"/>
  <c r="G120" i="5"/>
  <c r="G121" i="5" s="1"/>
  <c r="G188" i="5"/>
  <c r="J188" i="5" s="1"/>
  <c r="G189" i="5"/>
  <c r="I189" i="5" s="1"/>
  <c r="L201" i="9" s="1"/>
  <c r="J190" i="9"/>
  <c r="I190" i="9"/>
  <c r="I191" i="5"/>
  <c r="J191" i="5"/>
  <c r="Q188" i="5"/>
  <c r="L202" i="9" l="1"/>
  <c r="G191" i="9"/>
  <c r="M190" i="9" s="1"/>
  <c r="O190" i="9" s="1"/>
  <c r="Q190" i="5"/>
  <c r="I188" i="5"/>
  <c r="L200" i="9" s="1"/>
  <c r="S189" i="5"/>
  <c r="G195" i="5" s="1"/>
  <c r="J189" i="5"/>
  <c r="G201" i="9" s="1"/>
  <c r="I201" i="9" s="1"/>
  <c r="H202" i="9"/>
  <c r="L190" i="9"/>
  <c r="G200" i="9"/>
  <c r="I200" i="9" s="1"/>
  <c r="L188" i="5"/>
  <c r="G203" i="9"/>
  <c r="L191" i="5"/>
  <c r="G194" i="9" l="1"/>
  <c r="Q189" i="9"/>
  <c r="G195" i="9"/>
  <c r="J191" i="9"/>
  <c r="G193" i="9"/>
  <c r="Q188" i="9"/>
  <c r="I191" i="9"/>
  <c r="L203" i="9" s="1"/>
  <c r="L189" i="5"/>
  <c r="U189" i="5"/>
  <c r="Q189" i="5"/>
  <c r="G194" i="5"/>
  <c r="G196" i="5"/>
  <c r="I202" i="9"/>
  <c r="K202" i="9"/>
  <c r="L191" i="9" l="1"/>
  <c r="H203" i="9"/>
  <c r="K203" i="9" l="1"/>
  <c r="I203" i="9"/>
</calcChain>
</file>

<file path=xl/sharedStrings.xml><?xml version="1.0" encoding="utf-8"?>
<sst xmlns="http://schemas.openxmlformats.org/spreadsheetml/2006/main" count="683" uniqueCount="311">
  <si>
    <t>MODELO DE VALORACIÓN DE EMPRESAS</t>
  </si>
  <si>
    <t>ESTADOS FINANCIEROS CIFRAS HISTORICAS</t>
  </si>
  <si>
    <t>a 31 de Diciembre</t>
  </si>
  <si>
    <t xml:space="preserve"> Pesos Colombianos</t>
  </si>
  <si>
    <t>0 TOTAL ACTIVO</t>
  </si>
  <si>
    <t>0 TOTAL PASIVO CORRIENTE</t>
  </si>
  <si>
    <t>0 TOTAL PASIVO NO CORRIENTE</t>
  </si>
  <si>
    <t>0 TOTAL PASIVO</t>
  </si>
  <si>
    <t>0 TOTAL PATRIMONIO</t>
  </si>
  <si>
    <t>0 TOTAL PASIVO Y PATRIMONIO</t>
  </si>
  <si>
    <t>ACTIVO</t>
  </si>
  <si>
    <t>Activo Corriente</t>
  </si>
  <si>
    <t>Activo No Corriente</t>
  </si>
  <si>
    <t>Pasivo Corriente</t>
  </si>
  <si>
    <t>Pasivo No Corriente</t>
  </si>
  <si>
    <t>Patrimonio</t>
  </si>
  <si>
    <t>CONTROL (Pasivo y Patrimonio - Activo)</t>
  </si>
  <si>
    <t>ESTADO DE SITUACIÓN FINANCIERA</t>
  </si>
  <si>
    <t>ESTADO DE RESULTADO</t>
  </si>
  <si>
    <t>UTILIDAD BRUTA</t>
  </si>
  <si>
    <t>UTILIDAD OPERACIONAL</t>
  </si>
  <si>
    <t>UTILIDAD ANTES DE IMPUESTOS</t>
  </si>
  <si>
    <t>Operacional</t>
  </si>
  <si>
    <t>No Operacional</t>
  </si>
  <si>
    <t>Resultados Netos</t>
  </si>
  <si>
    <t xml:space="preserve">CUENTAS DE RESULTADO </t>
  </si>
  <si>
    <t>ANÁLISIS FINANCIERO</t>
  </si>
  <si>
    <t>ANÁLISIS VERTICAL</t>
  </si>
  <si>
    <t>ANÁLISIS VERTICAL - BASE EN VENTAS</t>
  </si>
  <si>
    <t>Ventas</t>
  </si>
  <si>
    <t>EBITDA</t>
  </si>
  <si>
    <t>CIFRAS FUNDAMENTALES DE PROYECCIÓN</t>
  </si>
  <si>
    <t xml:space="preserve">CIFRAS DE PROYECCIÓN </t>
  </si>
  <si>
    <t xml:space="preserve">PLANES, POLITICAS Y EXPECTATIVAS </t>
  </si>
  <si>
    <t>Inflación en Colombia</t>
  </si>
  <si>
    <t>VARIABLE MACROECONÓMICA</t>
  </si>
  <si>
    <t>CIFRAS PROYECTADAS</t>
  </si>
  <si>
    <t>CIFRAS HISTÓRICAS</t>
  </si>
  <si>
    <t>Promedio Estructural</t>
  </si>
  <si>
    <t>ESTADOS FINANCIEROS PROYECTADOS</t>
  </si>
  <si>
    <t>PROYECCIÓN DE ESTADOS FINANCIERO</t>
  </si>
  <si>
    <t>VALORACIÓN</t>
  </si>
  <si>
    <t>MODELOS DE VALORACIÓN</t>
  </si>
  <si>
    <t>CALCULO DEL COSTO DE LOS RECURSOS PROPIOS</t>
  </si>
  <si>
    <t>Rentabilidad Bonos del Tesoro USA</t>
  </si>
  <si>
    <t>Inflación USA</t>
  </si>
  <si>
    <t>Inflación Colombia</t>
  </si>
  <si>
    <t>RIESGO PAÍS</t>
  </si>
  <si>
    <t>Inflación en USA</t>
  </si>
  <si>
    <r>
      <t xml:space="preserve">Tasa libre de riesgo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</t>
    </r>
  </si>
  <si>
    <t>Inflación COLOMBIA</t>
  </si>
  <si>
    <t>Riesgo país Colombia</t>
  </si>
  <si>
    <t>COSTO DE CAPITAL</t>
  </si>
  <si>
    <t>Años</t>
  </si>
  <si>
    <r>
      <t xml:space="preserve">Tasa libre de riesgo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dólares      KL</t>
    </r>
    <r>
      <rPr>
        <b/>
        <vertAlign val="subscript"/>
        <sz val="11"/>
        <rFont val="Calibri"/>
        <family val="2"/>
      </rPr>
      <t xml:space="preserve">  USA</t>
    </r>
  </si>
  <si>
    <r>
      <t xml:space="preserve">Tasa libre de riesgo 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$COL</t>
    </r>
  </si>
  <si>
    <r>
      <t xml:space="preserve">Prima de riesgo del mercado            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</t>
    </r>
  </si>
  <si>
    <t>Rentabilidad acciones USA S&amp;P</t>
  </si>
  <si>
    <r>
      <t>Rentabilidad del Mercado</t>
    </r>
    <r>
      <rPr>
        <sz val="11"/>
        <rFont val="Calibri"/>
        <family val="2"/>
      </rPr>
      <t xml:space="preserve"> en $COL</t>
    </r>
  </si>
  <si>
    <r>
      <t xml:space="preserve">Rentabilidad Mercado en dólares            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</rPr>
      <t>K</t>
    </r>
    <r>
      <rPr>
        <b/>
        <vertAlign val="subscript"/>
        <sz val="11"/>
        <color theme="1"/>
        <rFont val="Calibri"/>
        <family val="2"/>
      </rPr>
      <t>m</t>
    </r>
    <r>
      <rPr>
        <b/>
        <sz val="11"/>
        <color theme="1"/>
        <rFont val="Calibri"/>
        <family val="2"/>
      </rPr>
      <t xml:space="preserve"> </t>
    </r>
    <r>
      <rPr>
        <b/>
        <sz val="8"/>
        <color theme="1"/>
        <rFont val="Calibri"/>
        <family val="2"/>
      </rPr>
      <t>USA</t>
    </r>
  </si>
  <si>
    <r>
      <t xml:space="preserve">Rentabilidad del Mercado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  </t>
    </r>
    <r>
      <rPr>
        <b/>
        <sz val="10"/>
        <rFont val="Calibri"/>
        <family val="2"/>
      </rPr>
      <t>Km USA</t>
    </r>
  </si>
  <si>
    <t>Km</t>
  </si>
  <si>
    <t>Kl</t>
  </si>
  <si>
    <t>RP</t>
  </si>
  <si>
    <t xml:space="preserve">Beta Desapalancada BU Sectorial </t>
  </si>
  <si>
    <r>
      <t xml:space="preserve">Patrimonio       </t>
    </r>
    <r>
      <rPr>
        <b/>
        <sz val="8"/>
        <color theme="1"/>
        <rFont val="Calibri"/>
        <family val="2"/>
        <scheme val="minor"/>
      </rPr>
      <t>K</t>
    </r>
  </si>
  <si>
    <r>
      <t xml:space="preserve">Deuda     </t>
    </r>
    <r>
      <rPr>
        <b/>
        <sz val="8"/>
        <color theme="1"/>
        <rFont val="Calibri"/>
        <family val="2"/>
        <scheme val="minor"/>
      </rPr>
      <t>D</t>
    </r>
  </si>
  <si>
    <r>
      <t xml:space="preserve">Beta Apalancada     </t>
    </r>
    <r>
      <rPr>
        <b/>
        <sz val="8"/>
        <color theme="1"/>
        <rFont val="Calibri"/>
        <family val="2"/>
        <scheme val="minor"/>
      </rPr>
      <t>BL = BU * ( 1 + (1-t) * D/P)</t>
    </r>
  </si>
  <si>
    <r>
      <t xml:space="preserve">Costo del Patrimonio   </t>
    </r>
    <r>
      <rPr>
        <b/>
        <sz val="11"/>
        <rFont val="Calibri"/>
        <family val="2"/>
        <scheme val="minor"/>
      </rPr>
      <t xml:space="preserve"> Ke =         Kl +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KL)*B + RP</t>
    </r>
  </si>
  <si>
    <r>
      <t xml:space="preserve">Estructura Patrimonio      </t>
    </r>
    <r>
      <rPr>
        <b/>
        <sz val="8"/>
        <color theme="1"/>
        <rFont val="Calibri"/>
        <family val="2"/>
        <scheme val="minor"/>
      </rPr>
      <t>K/(D+ K)</t>
    </r>
  </si>
  <si>
    <r>
      <t xml:space="preserve">Estructura Deuda       </t>
    </r>
    <r>
      <rPr>
        <b/>
        <sz val="8"/>
        <color theme="1"/>
        <rFont val="Calibri"/>
        <family val="2"/>
        <scheme val="minor"/>
      </rPr>
      <t>D/(D+ K)</t>
    </r>
  </si>
  <si>
    <r>
      <t xml:space="preserve">Costo Despues de Impuestos (Escudo Fiscal)  </t>
    </r>
    <r>
      <rPr>
        <b/>
        <sz val="9"/>
        <color theme="1"/>
        <rFont val="Calibri"/>
        <family val="2"/>
        <scheme val="minor"/>
      </rPr>
      <t>Kd*(1- tx)</t>
    </r>
  </si>
  <si>
    <r>
      <rPr>
        <sz val="11"/>
        <color theme="1"/>
        <rFont val="Calibri"/>
        <family val="2"/>
        <scheme val="minor"/>
      </rPr>
      <t>Total Estructura de Capital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9"/>
        <color theme="1"/>
        <rFont val="Calibri"/>
        <family val="2"/>
        <scheme val="minor"/>
      </rPr>
      <t>D+K</t>
    </r>
  </si>
  <si>
    <t xml:space="preserve"> Fuente: Damodaran</t>
  </si>
  <si>
    <r>
      <t xml:space="preserve">Aporte Costo de la Deuda    </t>
    </r>
    <r>
      <rPr>
        <b/>
        <sz val="9"/>
        <color theme="1"/>
        <rFont val="Calibri"/>
        <family val="2"/>
        <scheme val="minor"/>
      </rPr>
      <t>Estructura deuda * Costo</t>
    </r>
  </si>
  <si>
    <r>
      <t xml:space="preserve">Aporte Costo Patrimonio     </t>
    </r>
    <r>
      <rPr>
        <b/>
        <sz val="9"/>
        <color theme="1"/>
        <rFont val="Calibri"/>
        <family val="2"/>
        <scheme val="minor"/>
      </rPr>
      <t>Estructura Patromonio * Costo</t>
    </r>
  </si>
  <si>
    <t>COSTO DE CAPITAL - WACC</t>
  </si>
  <si>
    <t>UTILIDAD DEL EJERCICIO</t>
  </si>
  <si>
    <t>(+) Impuestos CAUSADOS</t>
  </si>
  <si>
    <t>(+) Gastos financiero</t>
  </si>
  <si>
    <t>EBIT</t>
  </si>
  <si>
    <t>(-) Impuestos AJUSTADOS
Impuestos operacionales</t>
  </si>
  <si>
    <t>UODI   RODI   NOPAT  NOPLAT   EBIT (1 - tx)</t>
  </si>
  <si>
    <t>(+) Depreciación</t>
  </si>
  <si>
    <t>1 Flujo operativo o flujo bruto</t>
  </si>
  <si>
    <t>(-) Variación del capital de trabajo</t>
  </si>
  <si>
    <t>(-) Inversión en activos (1)</t>
  </si>
  <si>
    <t>2 Financiación de inversiones</t>
  </si>
  <si>
    <t>(1 - 2) FCLO</t>
  </si>
  <si>
    <t>FLUJO DE CAJA PROYECTADO</t>
  </si>
  <si>
    <t>TASAS HISTORICAS</t>
  </si>
  <si>
    <t>CONCEPTO</t>
  </si>
  <si>
    <t>MÉTODO FLUJO DE CAJA DESCONTADO FCLD</t>
  </si>
  <si>
    <t>Ultimo FCLO conocido</t>
  </si>
  <si>
    <t>Ultimo costo de capital conocido</t>
  </si>
  <si>
    <t>g</t>
  </si>
  <si>
    <r>
      <t>FCLO</t>
    </r>
    <r>
      <rPr>
        <b/>
        <vertAlign val="subscript"/>
        <sz val="9"/>
        <color theme="1"/>
        <rFont val="Arial"/>
        <family val="2"/>
      </rPr>
      <t>n</t>
    </r>
  </si>
  <si>
    <t>MODELO ANUALIDAD PERPETUA</t>
  </si>
  <si>
    <t>FCLO (último valor conocido)</t>
  </si>
  <si>
    <t>VALOR TERMINAL</t>
  </si>
  <si>
    <t>MODELO CRECIMIENTO CONSTANTE</t>
  </si>
  <si>
    <t>WACC (último valor conocido)</t>
  </si>
  <si>
    <r>
      <t xml:space="preserve">WACC </t>
    </r>
    <r>
      <rPr>
        <b/>
        <vertAlign val="subscript"/>
        <sz val="9"/>
        <color theme="1"/>
        <rFont val="Arial"/>
        <family val="2"/>
      </rPr>
      <t>n</t>
    </r>
  </si>
  <si>
    <t>Gradiente a perpetuidad</t>
  </si>
  <si>
    <t>M1</t>
  </si>
  <si>
    <t>M2</t>
  </si>
  <si>
    <t>Tasa de crecimiento - perpetuidad  g</t>
  </si>
  <si>
    <t>Representa una serie de pagos Futuros Constantes y perpetuos</t>
  </si>
  <si>
    <t>Representa pagos perpetuos con un grado de crecimiento constante</t>
  </si>
  <si>
    <t>Costo de Capital</t>
  </si>
  <si>
    <t>Tasa Acumulada</t>
  </si>
  <si>
    <t>FCL</t>
  </si>
  <si>
    <t>Valor Terminal</t>
  </si>
  <si>
    <t>Valor presente Flujos de caja Proyectados</t>
  </si>
  <si>
    <t>(+) VALOR PRESENTO DE LOS FLUJOS</t>
  </si>
  <si>
    <t>(+) VALOR PRESENTE DEL VALOR TERMINAL</t>
  </si>
  <si>
    <t>(=)VALOR DE LAS OPERACIONES O DE MERCADO</t>
  </si>
  <si>
    <t>VALOR PRESENTE FLUJOS DE CAJA PROYECTADOS</t>
  </si>
  <si>
    <t>Valor de mercado de la empresa</t>
  </si>
  <si>
    <r>
      <t xml:space="preserve">(Menos) Deuda operacional </t>
    </r>
    <r>
      <rPr>
        <sz val="9"/>
        <rFont val="Calibri"/>
        <family val="2"/>
        <scheme val="minor"/>
      </rPr>
      <t>(Pasivo Corriente - Oblig.Finan CP)</t>
    </r>
  </si>
  <si>
    <r>
      <t xml:space="preserve">(Más) Activo corriente </t>
    </r>
    <r>
      <rPr>
        <sz val="9"/>
        <rFont val="Calibri"/>
        <family val="2"/>
        <scheme val="minor"/>
      </rPr>
      <t>(Disp. Inver, Clientes, Invet.)</t>
    </r>
  </si>
  <si>
    <t>VALOR DE MERCADO DEL PATRIMONIO</t>
  </si>
  <si>
    <t>Patrimonio contable</t>
  </si>
  <si>
    <t>P/BV</t>
  </si>
  <si>
    <t>Valor en Libros por acción</t>
  </si>
  <si>
    <t>Numero de Acciones</t>
  </si>
  <si>
    <t>Valor de Mercado de la Acción</t>
  </si>
  <si>
    <t>MÉTODOS CONTABLES O DEL BALANCE</t>
  </si>
  <si>
    <t>MÉTODOS CONTABLES O DE BALANCE</t>
  </si>
  <si>
    <t>VALOR PATRIMONIAL O VALOR EN LIBROS</t>
  </si>
  <si>
    <t>Activos Totales</t>
  </si>
  <si>
    <t>Pasivos Totales</t>
  </si>
  <si>
    <t>Valor en Libros Acción</t>
  </si>
  <si>
    <t>Valor de la Acción</t>
  </si>
  <si>
    <t>VALOR SUSTANCIAL NETO</t>
  </si>
  <si>
    <t>Activos totales</t>
  </si>
  <si>
    <r>
      <t xml:space="preserve">Patrimonio       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A - P = Pat</t>
    </r>
  </si>
  <si>
    <r>
      <t xml:space="preserve">Pasivo Exigible Deudas    </t>
    </r>
    <r>
      <rPr>
        <b/>
        <sz val="8"/>
        <color theme="1"/>
        <rFont val="Calibri"/>
        <family val="2"/>
        <scheme val="minor"/>
      </rPr>
      <t>Financiacion con terceros  FIN  CP + FIN LP + PROVE</t>
    </r>
  </si>
  <si>
    <r>
      <t xml:space="preserve">Patrimonio          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Act   -    financiacion con terceros = Pat</t>
    </r>
  </si>
  <si>
    <t>MÉTODO VALOR PRESENTE EBITDA´S  PROYECTADOS</t>
  </si>
  <si>
    <t>(+) Amortizacion</t>
  </si>
  <si>
    <t>(+) Provisiones</t>
  </si>
  <si>
    <t>EBITDA PROYECTADO</t>
  </si>
  <si>
    <t>(Menos) Deuda financiera CP + LP</t>
  </si>
  <si>
    <t>RESUMEN RESULTADOS DE VALORACIÓN</t>
  </si>
  <si>
    <t>FCLD</t>
  </si>
  <si>
    <t>Valor Empresa 
Ultimo Conocido</t>
  </si>
  <si>
    <t>Método</t>
  </si>
  <si>
    <t>Ultimo Patrimonio 
Real</t>
  </si>
  <si>
    <t>Valor Creado 
Proyectado 5 Años</t>
  </si>
  <si>
    <t>P/BV Sector 
(Damodaran)</t>
  </si>
  <si>
    <t>Diferencia</t>
  </si>
  <si>
    <t>Sustancial  Neto</t>
  </si>
  <si>
    <t>Patrimonial</t>
  </si>
  <si>
    <t>MÉTODO DE DESCUENTO DE EBITDA, PERCEPCIÓN DE CAJA OPERATIVA</t>
  </si>
  <si>
    <t>MÉTODO FLUJO DE CAJA LIBRE DESCONTADO</t>
  </si>
  <si>
    <t>ESTRATEGIAS Y TRATAMIENTOS OPERATIVOS</t>
  </si>
  <si>
    <t>REDUCCIÓN DE COSTOS</t>
  </si>
  <si>
    <t>Objetivo</t>
  </si>
  <si>
    <t>REDUCCIÓN DE COSTOS $ Proyección</t>
  </si>
  <si>
    <t>PROYECCIONES MEJORARAS, TRATAMIENTOS Y ESTRATEGIAS</t>
  </si>
  <si>
    <t>REDUCCIÓN DE GASTOS ADMINISTRATIVOS</t>
  </si>
  <si>
    <t>REDUCCIÓN DE GASTOS DE VENTAS</t>
  </si>
  <si>
    <t>REDUCCIÓN DE GASTOS ADMON $ Proyección</t>
  </si>
  <si>
    <t>REDUCCIÓN GASTOS DE VENTAS $ Proyección</t>
  </si>
  <si>
    <t>ESTRATEGIA 1 MEJORAMIENTO MARGEN EBITDA</t>
  </si>
  <si>
    <t xml:space="preserve">COSTO DE VENTAS Y DE PRESTACIÓN DE SERVICIOS </t>
  </si>
  <si>
    <t xml:space="preserve">GASTOS OPERACIONALES DE ADMINISTRACIÓN </t>
  </si>
  <si>
    <t xml:space="preserve">GASTOS OPERACIONALES DE VENTAS </t>
  </si>
  <si>
    <t>COTOS</t>
  </si>
  <si>
    <t>GASTOS ADMINISTRATIVOS</t>
  </si>
  <si>
    <t>GASTOS DE VENTAS</t>
  </si>
  <si>
    <t>PLAN DE REDUCCIÓN EN PESOS</t>
  </si>
  <si>
    <t>ESTRATEGIA 2  INCREMENTO EN VENTAS</t>
  </si>
  <si>
    <t>INCREMENTO EN VENTAS</t>
  </si>
  <si>
    <t>Gradiente Crecimiento Valoración Natural</t>
  </si>
  <si>
    <t>CRECIMIENTO ADICIONAL DE VENTAS</t>
  </si>
  <si>
    <t>INCREMENTO GRADIENTE DE CRECIMIENTO</t>
  </si>
  <si>
    <t>VENTAS CON TRATAMIENTO</t>
  </si>
  <si>
    <t>MODELOS DE VALORACIÓN CON ESTRATEGIA</t>
  </si>
  <si>
    <t>FLUJO DE CAJA PROYECTADO CON ESTRATEGIA</t>
  </si>
  <si>
    <t>MÉTODO FLUJO DE CAJA DESCONTADO FCLD CON ESTRATEGIA</t>
  </si>
  <si>
    <t>MÉTODOS CONTABLES O DE BALANCE CON ESTRATEGIA</t>
  </si>
  <si>
    <t>MÉTODO VALOR PRESENTE EBITDA´S  PROYECTADOS CON ESTRATEGIA</t>
  </si>
  <si>
    <t>RESUMEN RESULTADOS DE VALORACIÓN CON ESTRATEGIA</t>
  </si>
  <si>
    <t>GESTIÓN DE VALOR POR MÉTODO</t>
  </si>
  <si>
    <t>P/BV ANTES</t>
  </si>
  <si>
    <t>P/BV 
+ Tratamiento</t>
  </si>
  <si>
    <t>Diferencia $</t>
  </si>
  <si>
    <r>
      <t xml:space="preserve">VALOR TERMINAL                                  </t>
    </r>
    <r>
      <rPr>
        <b/>
        <sz val="8"/>
        <color theme="1"/>
        <rFont val="Arial"/>
        <family val="2"/>
      </rPr>
      <t>FCLO*(1+g) / (WAAC - g)</t>
    </r>
  </si>
  <si>
    <r>
      <t xml:space="preserve">VALOR TERMINAL                                    </t>
    </r>
    <r>
      <rPr>
        <b/>
        <sz val="8"/>
        <color theme="1"/>
        <rFont val="Arial"/>
        <family val="2"/>
      </rPr>
      <t>FCLO*(1+g)/(WACC - g)</t>
    </r>
  </si>
  <si>
    <t>(+) VALOR PRESENTE DE LOS FLUJOS</t>
  </si>
  <si>
    <t>(-) Inversión en activos</t>
  </si>
  <si>
    <t xml:space="preserve">Valor Medio </t>
  </si>
  <si>
    <t>Efectivo y equivalentes de efectivo</t>
  </si>
  <si>
    <t>Activos financieros</t>
  </si>
  <si>
    <t>Deudores comerciales y otros</t>
  </si>
  <si>
    <t>Inventarios</t>
  </si>
  <si>
    <t>Pagos anticipados</t>
  </si>
  <si>
    <t>TOTAL ACTIVO CORRIENTE</t>
  </si>
  <si>
    <t>Deudores</t>
  </si>
  <si>
    <t>Propiedades, planta y equipo</t>
  </si>
  <si>
    <t>Activos intangibles</t>
  </si>
  <si>
    <t>Activos por impuestos diferidos</t>
  </si>
  <si>
    <t>TOTAL ACTIVO NO CORRIENTE</t>
  </si>
  <si>
    <t>Obligaciones financieras</t>
  </si>
  <si>
    <t>Proveedores</t>
  </si>
  <si>
    <t>Cuentas por pagar Varios</t>
  </si>
  <si>
    <t>Impuestos corrientes por pagar</t>
  </si>
  <si>
    <t>Otros pasivos</t>
  </si>
  <si>
    <t>Provisiones</t>
  </si>
  <si>
    <t>Capital suscrito y pagado</t>
  </si>
  <si>
    <t>Superavit de capital</t>
  </si>
  <si>
    <t>Reservas</t>
  </si>
  <si>
    <t>Resultados del Ejercicio</t>
  </si>
  <si>
    <t>Ventas, Ingresos de actividades ordinarias</t>
  </si>
  <si>
    <t>Costo de Ventas</t>
  </si>
  <si>
    <t>Gastos de administración</t>
  </si>
  <si>
    <t>Gastos de ventas y distribución</t>
  </si>
  <si>
    <t>Otros ingresos</t>
  </si>
  <si>
    <t>Gasto no operacional</t>
  </si>
  <si>
    <t>Gasto Financiero</t>
  </si>
  <si>
    <t>Gasto por impuesto</t>
  </si>
  <si>
    <t>UTILIDAD NETA</t>
  </si>
  <si>
    <t>Detalles de Depreciación y Amortización</t>
  </si>
  <si>
    <t>Depreciaciones</t>
  </si>
  <si>
    <t>Amortizaciones</t>
  </si>
  <si>
    <t>Nivel Medio</t>
  </si>
  <si>
    <t>Nivel Bajo</t>
  </si>
  <si>
    <t>Nivel Alto</t>
  </si>
  <si>
    <t>Niveles</t>
  </si>
  <si>
    <t>Valor</t>
  </si>
  <si>
    <t>Contable</t>
  </si>
  <si>
    <t>Promedio</t>
  </si>
  <si>
    <t>Dinámicos</t>
  </si>
  <si>
    <t xml:space="preserve"> </t>
  </si>
  <si>
    <t>Costos</t>
  </si>
  <si>
    <t>Gastos</t>
  </si>
  <si>
    <t>Total Erogación</t>
  </si>
  <si>
    <t>Total operación</t>
  </si>
  <si>
    <t>Ingresos no ope</t>
  </si>
  <si>
    <t>Gastos no ope</t>
  </si>
  <si>
    <t>Tx</t>
  </si>
  <si>
    <t>Margen Neto</t>
  </si>
  <si>
    <t>Anexo KTNO</t>
  </si>
  <si>
    <t xml:space="preserve">Calculo KTNO </t>
  </si>
  <si>
    <t>Cuentas</t>
  </si>
  <si>
    <t>Estructuras</t>
  </si>
  <si>
    <t>VARIABLES</t>
  </si>
  <si>
    <t>PIB</t>
  </si>
  <si>
    <t>Crecimiento Historico</t>
  </si>
  <si>
    <t>Tasa de Crecimiento</t>
  </si>
  <si>
    <t>Crecimiento Proyectado</t>
  </si>
  <si>
    <t>Variables</t>
  </si>
  <si>
    <t>Tasa de Crecimiento Modelo 1</t>
  </si>
  <si>
    <t>CIFRAS PROYECTADAS ESCENARIO 3</t>
  </si>
  <si>
    <t>TASA Kd E.A.</t>
  </si>
  <si>
    <t>Elegir Escenario de tasa</t>
  </si>
  <si>
    <t>TASAS DE DEUDA</t>
  </si>
  <si>
    <t>Utilidades</t>
  </si>
  <si>
    <t>Crecimiento Proyectado Con Estrategia</t>
  </si>
  <si>
    <t>Tasas proyectadas con Tratamiento</t>
  </si>
  <si>
    <t>Modelo INGEH V6.0 Ultima actualización Octubre de 2020</t>
  </si>
  <si>
    <t>INDICADORES DE VALOR Y RAZONES FINANCIERAS</t>
  </si>
  <si>
    <t>Si tengo los datos calcular pnderaciones Kd</t>
  </si>
  <si>
    <t>2. Tomar las tasa de colocacion de creditos comerciales EA</t>
  </si>
  <si>
    <t>ROA</t>
  </si>
  <si>
    <t>M. EBITDA</t>
  </si>
  <si>
    <t>EMPRESA FINART S.A.S</t>
  </si>
  <si>
    <t>sacar el kd</t>
  </si>
  <si>
    <t>INDUCTORES DE RENTABILIDAD</t>
  </si>
  <si>
    <t>RAN</t>
  </si>
  <si>
    <t>UODI</t>
  </si>
  <si>
    <t>DISTANCIA</t>
  </si>
  <si>
    <t>UODI CON IMPUESTO</t>
  </si>
  <si>
    <t>PROMEDIO ROA</t>
  </si>
  <si>
    <t>PROMEDIO RAN</t>
  </si>
  <si>
    <t>INDUCTORES OPERATIVOS Y FINANCIEROS</t>
  </si>
  <si>
    <t>KTNO</t>
  </si>
  <si>
    <t>PKT Centavos</t>
  </si>
  <si>
    <t>PKT %</t>
  </si>
  <si>
    <t>PAF</t>
  </si>
  <si>
    <t>FLUJO DE CAJA LIBRE</t>
  </si>
  <si>
    <t>FLUJO DE CAJA BRUTO</t>
  </si>
  <si>
    <t>FLUJO DE CAJA LIBRE (FCL)</t>
  </si>
  <si>
    <t>ANALISIS RAZONES FINANCIERAS</t>
  </si>
  <si>
    <t>Rentabilidad</t>
  </si>
  <si>
    <t>Rentabilidad Bruta</t>
  </si>
  <si>
    <t>Rentabilidad Operacional</t>
  </si>
  <si>
    <t>Rentabilidad Neta</t>
  </si>
  <si>
    <t>ROE</t>
  </si>
  <si>
    <t>Liquidez</t>
  </si>
  <si>
    <t>Capital de Trabajo</t>
  </si>
  <si>
    <t>Razon Corriente</t>
  </si>
  <si>
    <t>Prueba Acida</t>
  </si>
  <si>
    <t>Endeudamiento</t>
  </si>
  <si>
    <t>Nivel de Endeudamiento</t>
  </si>
  <si>
    <t>Concentracion de Endeudamiento a Corto Plazo</t>
  </si>
  <si>
    <t>Concentracion de Endeudamiento a Largo Plazo</t>
  </si>
  <si>
    <t>ANALISIS RAZONES POR ACTIVIDAD</t>
  </si>
  <si>
    <t>Rotacion del Patrimonio</t>
  </si>
  <si>
    <t>Rotacion del Activo</t>
  </si>
  <si>
    <t>Rotacion de Cartera</t>
  </si>
  <si>
    <t>Periodo de Cobro</t>
  </si>
  <si>
    <t>Rotacion de Inventarios</t>
  </si>
  <si>
    <t>Ciclo Operacional</t>
  </si>
  <si>
    <t>Periodo de Pago a Proveedores</t>
  </si>
  <si>
    <t>CIFRAS PROYECTADAS ESCENARIO 2 (cifras bancolombia)</t>
  </si>
  <si>
    <r>
      <t xml:space="preserve">(Menos) Deuda operacional </t>
    </r>
    <r>
      <rPr>
        <b/>
        <sz val="9"/>
        <rFont val="Calibri"/>
        <family val="2"/>
        <scheme val="minor"/>
      </rPr>
      <t>(Pasivo Corriente - Oblig.Finan CP)</t>
    </r>
  </si>
  <si>
    <r>
      <t xml:space="preserve">(Más) Activo corriente </t>
    </r>
    <r>
      <rPr>
        <b/>
        <sz val="9"/>
        <rFont val="Calibri"/>
        <family val="2"/>
        <scheme val="minor"/>
      </rPr>
      <t>(Disp. Inver, Clientes, Invet.)</t>
    </r>
  </si>
  <si>
    <t xml:space="preserve"> Miles de Pesos Colombianos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</si>
</sst>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_-;\-* #,##0.00_-;_-* &quot;-&quot;_-;_-@_-"/>
    <numFmt numFmtId="166" formatCode="_-* #,##0_-;\-* #,##0_-;_-* &quot;-&quot;??_-;_-@_-"/>
    <numFmt numFmtId="167" formatCode="0.0%"/>
    <numFmt numFmtId="168" formatCode="_(&quot;$&quot;\ * #,##0_);_(&quot;$&quot;\ * \(#,##0\);_(&quot;$&quot;\ * &quot;-&quot;??_);_(@_)"/>
    <numFmt numFmtId="169" formatCode="0\ &quot;p&quot;"/>
    <numFmt numFmtId="170" formatCode="_(&quot;$&quot;* #,##0_);_(&quot;$&quot;* \(#,##0\);_(&quot;$&quot;* &quot;-&quot;??_);_(@_)"/>
    <numFmt numFmtId="171" formatCode="&quot;PIB = &quot;0.00%"/>
    <numFmt numFmtId="172" formatCode="#,##0.00%_ ;\(#,##0.00%\)"/>
    <numFmt numFmtId="173" formatCode="#,##0.0%_ ;\(#,##0.0%\)"/>
    <numFmt numFmtId="174" formatCode="_(* #,##0_);_(* \(#,##0\);_(* &quot;-&quot;??_);_(@_)"/>
    <numFmt numFmtId="175" formatCode="_(&quot;$&quot;\ * #,##0.00_);_(&quot;$&quot;\ * \(#,##0.00\);_(&quot;$&quot;\ * &quot;-&quot;??_);_(@_)"/>
    <numFmt numFmtId="176" formatCode="0.00\ \X"/>
    <numFmt numFmtId="177" formatCode="0.00%\ ;\(0.00%\)"/>
    <numFmt numFmtId="178" formatCode="_-* #,##0.0_-;\-* #,##0.0_-;_-* &quot;-&quot;?_-;_-@_-"/>
    <numFmt numFmtId="179" formatCode="_(* #,##0_);_(* \(#,##0\);_(* &quot;-&quot;_);_(@_)"/>
    <numFmt numFmtId="180" formatCode="&quot;Crecimiento = &quot;0.00%"/>
    <numFmt numFmtId="181" formatCode="_-* #,##0.00\ _€_-;\-* #,##0.00\ _€_-;_-* &quot;-&quot;??\ _€_-;_-@_-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gency FB"/>
      <family val="2"/>
    </font>
    <font>
      <b/>
      <sz val="36"/>
      <color theme="0"/>
      <name val="Agency FB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AR DESTINE"/>
    </font>
    <font>
      <b/>
      <sz val="18"/>
      <color theme="0"/>
      <name val="Agency FB"/>
      <family val="2"/>
    </font>
    <font>
      <b/>
      <sz val="18"/>
      <color theme="1"/>
      <name val="Agency FB"/>
      <family val="2"/>
    </font>
    <font>
      <b/>
      <sz val="16"/>
      <color theme="1"/>
      <name val="Agency FB"/>
      <family val="2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vertAlign val="subscript"/>
      <sz val="11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</font>
    <font>
      <b/>
      <vertAlign val="subscript"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theme="0"/>
      <name val="Agency FB"/>
      <family val="2"/>
    </font>
    <font>
      <b/>
      <sz val="11"/>
      <color theme="0"/>
      <name val="Agency FB"/>
      <family val="2"/>
    </font>
    <font>
      <b/>
      <sz val="14"/>
      <color theme="0"/>
      <name val="Agency FB"/>
      <family val="2"/>
    </font>
    <font>
      <b/>
      <sz val="9"/>
      <color theme="0"/>
      <name val="Arial"/>
      <family val="2"/>
    </font>
    <font>
      <sz val="11"/>
      <name val="Arial"/>
      <family val="2"/>
    </font>
    <font>
      <b/>
      <vertAlign val="subscript"/>
      <sz val="9"/>
      <color theme="1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Agency FB"/>
      <family val="2"/>
    </font>
    <font>
      <b/>
      <sz val="10"/>
      <name val="Calibri"/>
      <family val="2"/>
      <scheme val="minor"/>
    </font>
    <font>
      <b/>
      <sz val="14"/>
      <color theme="1"/>
      <name val="Agency FB"/>
      <family val="2"/>
    </font>
    <font>
      <b/>
      <sz val="20"/>
      <color theme="1"/>
      <name val="Agency FB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36"/>
      <color theme="0" tint="-4.9989318521683403E-2"/>
      <name val="Agency FB"/>
      <family val="2"/>
    </font>
    <font>
      <sz val="11"/>
      <color theme="0" tint="-4.9989318521683403E-2"/>
      <name val="Calibri"/>
      <family val="2"/>
      <scheme val="minor"/>
    </font>
    <font>
      <b/>
      <sz val="22"/>
      <color theme="0" tint="-4.9989318521683403E-2"/>
      <name val="Agency FB"/>
      <family val="2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color theme="1"/>
      <name val="Agency FB"/>
      <family val="2"/>
    </font>
    <font>
      <b/>
      <sz val="36"/>
      <color theme="0" tint="-4.9989318521683403E-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Agency FB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/>
    <xf numFmtId="0" fontId="40" fillId="0" borderId="0"/>
    <xf numFmtId="43" fontId="1" fillId="0" borderId="0" applyFont="0" applyFill="0" applyBorder="0" applyAlignment="0" applyProtection="0"/>
    <xf numFmtId="41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865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Alignment="1">
      <alignment horizontal="left"/>
    </xf>
    <xf numFmtId="0" fontId="0" fillId="2" borderId="9" xfId="0" applyFill="1" applyBorder="1"/>
    <xf numFmtId="0" fontId="4" fillId="7" borderId="11" xfId="0" applyFont="1" applyFill="1" applyBorder="1"/>
    <xf numFmtId="0" fontId="4" fillId="7" borderId="12" xfId="0" applyFont="1" applyFill="1" applyBorder="1"/>
    <xf numFmtId="0" fontId="0" fillId="2" borderId="0" xfId="0" applyFill="1" applyBorder="1" applyAlignment="1">
      <alignment horizontal="left"/>
    </xf>
    <xf numFmtId="41" fontId="0" fillId="2" borderId="9" xfId="1" applyFont="1" applyFill="1" applyBorder="1"/>
    <xf numFmtId="41" fontId="3" fillId="2" borderId="9" xfId="1" applyFont="1" applyFill="1" applyBorder="1"/>
    <xf numFmtId="41" fontId="1" fillId="2" borderId="9" xfId="1" applyFont="1" applyFill="1" applyBorder="1"/>
    <xf numFmtId="41" fontId="3" fillId="6" borderId="9" xfId="1" applyFont="1" applyFill="1" applyBorder="1"/>
    <xf numFmtId="41" fontId="0" fillId="2" borderId="9" xfId="0" applyNumberFormat="1" applyFill="1" applyBorder="1"/>
    <xf numFmtId="0" fontId="3" fillId="3" borderId="13" xfId="0" applyNumberFormat="1" applyFont="1" applyFill="1" applyBorder="1"/>
    <xf numFmtId="3" fontId="3" fillId="2" borderId="9" xfId="0" applyNumberFormat="1" applyFont="1" applyFill="1" applyBorder="1"/>
    <xf numFmtId="10" fontId="0" fillId="2" borderId="9" xfId="2" applyNumberFormat="1" applyFont="1" applyFill="1" applyBorder="1"/>
    <xf numFmtId="10" fontId="3" fillId="2" borderId="9" xfId="2" applyNumberFormat="1" applyFont="1" applyFill="1" applyBorder="1"/>
    <xf numFmtId="0" fontId="3" fillId="3" borderId="15" xfId="0" applyNumberFormat="1" applyFont="1" applyFill="1" applyBorder="1"/>
    <xf numFmtId="0" fontId="2" fillId="3" borderId="13" xfId="0" applyNumberFormat="1" applyFont="1" applyFill="1" applyBorder="1"/>
    <xf numFmtId="3" fontId="0" fillId="2" borderId="0" xfId="0" applyNumberFormat="1" applyFill="1"/>
    <xf numFmtId="165" fontId="3" fillId="2" borderId="9" xfId="1" applyNumberFormat="1" applyFont="1" applyFill="1" applyBorder="1"/>
    <xf numFmtId="10" fontId="0" fillId="2" borderId="0" xfId="0" applyNumberFormat="1" applyFill="1"/>
    <xf numFmtId="10" fontId="3" fillId="2" borderId="9" xfId="0" applyNumberFormat="1" applyFont="1" applyFill="1" applyBorder="1"/>
    <xf numFmtId="10" fontId="0" fillId="2" borderId="9" xfId="0" applyNumberFormat="1" applyFill="1" applyBorder="1"/>
    <xf numFmtId="0" fontId="2" fillId="3" borderId="14" xfId="0" applyNumberFormat="1" applyFont="1" applyFill="1" applyBorder="1"/>
    <xf numFmtId="0" fontId="2" fillId="9" borderId="14" xfId="0" applyNumberFormat="1" applyFont="1" applyFill="1" applyBorder="1"/>
    <xf numFmtId="0" fontId="2" fillId="9" borderId="18" xfId="0" applyNumberFormat="1" applyFont="1" applyFill="1" applyBorder="1"/>
    <xf numFmtId="10" fontId="0" fillId="2" borderId="10" xfId="0" applyNumberFormat="1" applyFill="1" applyBorder="1"/>
    <xf numFmtId="0" fontId="11" fillId="2" borderId="20" xfId="0" applyFont="1" applyFill="1" applyBorder="1" applyAlignment="1"/>
    <xf numFmtId="0" fontId="11" fillId="2" borderId="21" xfId="0" applyFont="1" applyFill="1" applyBorder="1" applyAlignment="1"/>
    <xf numFmtId="0" fontId="2" fillId="3" borderId="15" xfId="0" applyNumberFormat="1" applyFont="1" applyFill="1" applyBorder="1"/>
    <xf numFmtId="0" fontId="2" fillId="10" borderId="16" xfId="0" applyNumberFormat="1" applyFont="1" applyFill="1" applyBorder="1"/>
    <xf numFmtId="0" fontId="2" fillId="10" borderId="17" xfId="0" applyNumberFormat="1" applyFont="1" applyFill="1" applyBorder="1"/>
    <xf numFmtId="0" fontId="2" fillId="10" borderId="19" xfId="0" applyNumberFormat="1" applyFont="1" applyFill="1" applyBorder="1"/>
    <xf numFmtId="0" fontId="4" fillId="10" borderId="11" xfId="0" applyFont="1" applyFill="1" applyBorder="1"/>
    <xf numFmtId="0" fontId="4" fillId="10" borderId="12" xfId="0" applyFont="1" applyFill="1" applyBorder="1"/>
    <xf numFmtId="10" fontId="0" fillId="10" borderId="9" xfId="0" applyNumberFormat="1" applyFill="1" applyBorder="1"/>
    <xf numFmtId="10" fontId="3" fillId="2" borderId="13" xfId="0" applyNumberFormat="1" applyFont="1" applyFill="1" applyBorder="1"/>
    <xf numFmtId="0" fontId="4" fillId="10" borderId="26" xfId="0" applyFont="1" applyFill="1" applyBorder="1"/>
    <xf numFmtId="0" fontId="0" fillId="10" borderId="24" xfId="0" applyFill="1" applyBorder="1"/>
    <xf numFmtId="0" fontId="3" fillId="5" borderId="27" xfId="0" applyNumberFormat="1" applyFont="1" applyFill="1" applyBorder="1"/>
    <xf numFmtId="0" fontId="3" fillId="5" borderId="28" xfId="0" applyNumberFormat="1" applyFont="1" applyFill="1" applyBorder="1"/>
    <xf numFmtId="0" fontId="3" fillId="5" borderId="29" xfId="0" applyNumberFormat="1" applyFont="1" applyFill="1" applyBorder="1"/>
    <xf numFmtId="41" fontId="0" fillId="2" borderId="0" xfId="0" applyNumberFormat="1" applyFill="1"/>
    <xf numFmtId="0" fontId="2" fillId="9" borderId="27" xfId="0" applyNumberFormat="1" applyFont="1" applyFill="1" applyBorder="1"/>
    <xf numFmtId="0" fontId="2" fillId="9" borderId="28" xfId="0" applyNumberFormat="1" applyFont="1" applyFill="1" applyBorder="1"/>
    <xf numFmtId="0" fontId="2" fillId="9" borderId="29" xfId="0" applyNumberFormat="1" applyFont="1" applyFill="1" applyBorder="1"/>
    <xf numFmtId="10" fontId="0" fillId="2" borderId="0" xfId="2" applyNumberFormat="1" applyFont="1" applyFill="1"/>
    <xf numFmtId="10" fontId="3" fillId="11" borderId="9" xfId="0" applyNumberFormat="1" applyFont="1" applyFill="1" applyBorder="1"/>
    <xf numFmtId="10" fontId="3" fillId="12" borderId="9" xfId="0" applyNumberFormat="1" applyFont="1" applyFill="1" applyBorder="1"/>
    <xf numFmtId="0" fontId="3" fillId="2" borderId="0" xfId="0" applyFont="1" applyFill="1" applyBorder="1" applyAlignment="1">
      <alignment horizontal="left"/>
    </xf>
    <xf numFmtId="10" fontId="15" fillId="2" borderId="9" xfId="2" applyNumberFormat="1" applyFont="1" applyFill="1" applyBorder="1"/>
    <xf numFmtId="0" fontId="0" fillId="2" borderId="0" xfId="0" applyFont="1" applyFill="1"/>
    <xf numFmtId="167" fontId="15" fillId="2" borderId="9" xfId="0" applyNumberFormat="1" applyFont="1" applyFill="1" applyBorder="1" applyAlignment="1">
      <alignment horizontal="center"/>
    </xf>
    <xf numFmtId="0" fontId="0" fillId="2" borderId="0" xfId="0" applyFont="1" applyFill="1" applyBorder="1"/>
    <xf numFmtId="167" fontId="14" fillId="2" borderId="9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67" fontId="15" fillId="2" borderId="0" xfId="2" applyNumberFormat="1" applyFont="1" applyFill="1" applyBorder="1"/>
    <xf numFmtId="10" fontId="15" fillId="2" borderId="10" xfId="0" applyNumberFormat="1" applyFont="1" applyFill="1" applyBorder="1" applyAlignment="1">
      <alignment horizontal="center"/>
    </xf>
    <xf numFmtId="10" fontId="15" fillId="2" borderId="10" xfId="2" applyNumberFormat="1" applyFont="1" applyFill="1" applyBorder="1" applyAlignment="1">
      <alignment horizontal="center"/>
    </xf>
    <xf numFmtId="10" fontId="14" fillId="2" borderId="10" xfId="2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2" fontId="3" fillId="2" borderId="9" xfId="0" applyNumberFormat="1" applyFont="1" applyFill="1" applyBorder="1"/>
    <xf numFmtId="0" fontId="3" fillId="2" borderId="9" xfId="0" applyFont="1" applyFill="1" applyBorder="1"/>
    <xf numFmtId="0" fontId="27" fillId="2" borderId="0" xfId="0" applyFont="1" applyFill="1"/>
    <xf numFmtId="0" fontId="35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0" fontId="35" fillId="2" borderId="4" xfId="0" applyFont="1" applyFill="1" applyBorder="1" applyAlignment="1">
      <alignment vertical="center"/>
    </xf>
    <xf numFmtId="0" fontId="29" fillId="2" borderId="4" xfId="0" applyFont="1" applyFill="1" applyBorder="1" applyAlignment="1">
      <alignment vertical="center"/>
    </xf>
    <xf numFmtId="10" fontId="3" fillId="2" borderId="0" xfId="2" applyNumberFormat="1" applyFont="1" applyFill="1" applyBorder="1"/>
    <xf numFmtId="0" fontId="5" fillId="2" borderId="0" xfId="0" applyFont="1" applyFill="1" applyBorder="1" applyAlignment="1">
      <alignment vertical="center"/>
    </xf>
    <xf numFmtId="0" fontId="34" fillId="21" borderId="23" xfId="0" quotePrefix="1" applyFont="1" applyFill="1" applyBorder="1" applyAlignment="1">
      <alignment horizontal="right" vertical="center"/>
    </xf>
    <xf numFmtId="0" fontId="34" fillId="21" borderId="25" xfId="0" quotePrefix="1" applyFont="1" applyFill="1" applyBorder="1" applyAlignment="1">
      <alignment horizontal="right" vertical="center"/>
    </xf>
    <xf numFmtId="0" fontId="35" fillId="21" borderId="25" xfId="0" applyFont="1" applyFill="1" applyBorder="1" applyAlignment="1">
      <alignment vertical="center"/>
    </xf>
    <xf numFmtId="0" fontId="34" fillId="21" borderId="25" xfId="0" applyFont="1" applyFill="1" applyBorder="1" applyAlignment="1">
      <alignment horizontal="center" vertical="center"/>
    </xf>
    <xf numFmtId="0" fontId="29" fillId="21" borderId="25" xfId="0" applyFont="1" applyFill="1" applyBorder="1" applyAlignment="1">
      <alignment vertical="center"/>
    </xf>
    <xf numFmtId="0" fontId="28" fillId="21" borderId="24" xfId="0" applyFont="1" applyFill="1" applyBorder="1" applyAlignment="1">
      <alignment horizontal="center" vertical="center"/>
    </xf>
    <xf numFmtId="169" fontId="39" fillId="9" borderId="9" xfId="0" applyNumberFormat="1" applyFont="1" applyFill="1" applyBorder="1" applyAlignment="1">
      <alignment horizontal="right" vertical="center" wrapText="1"/>
    </xf>
    <xf numFmtId="0" fontId="31" fillId="2" borderId="0" xfId="0" applyFont="1" applyFill="1" applyBorder="1" applyAlignment="1">
      <alignment vertical="center"/>
    </xf>
    <xf numFmtId="0" fontId="32" fillId="18" borderId="9" xfId="5" quotePrefix="1" applyFont="1" applyFill="1" applyBorder="1" applyAlignment="1">
      <alignment horizontal="center" vertical="center"/>
    </xf>
    <xf numFmtId="170" fontId="33" fillId="18" borderId="9" xfId="3" applyNumberFormat="1" applyFont="1" applyFill="1" applyBorder="1" applyAlignment="1">
      <alignment vertical="center"/>
    </xf>
    <xf numFmtId="0" fontId="32" fillId="18" borderId="9" xfId="5" applyFont="1" applyFill="1" applyBorder="1" applyAlignment="1">
      <alignment horizontal="center" vertical="center"/>
    </xf>
    <xf numFmtId="0" fontId="32" fillId="18" borderId="10" xfId="5" quotePrefix="1" applyFont="1" applyFill="1" applyBorder="1" applyAlignment="1">
      <alignment vertical="center"/>
    </xf>
    <xf numFmtId="0" fontId="33" fillId="18" borderId="12" xfId="0" applyFont="1" applyFill="1" applyBorder="1" applyAlignment="1">
      <alignment vertical="center"/>
    </xf>
    <xf numFmtId="171" fontId="32" fillId="18" borderId="9" xfId="0" applyNumberFormat="1" applyFont="1" applyFill="1" applyBorder="1" applyAlignment="1">
      <alignment vertical="center"/>
    </xf>
    <xf numFmtId="172" fontId="32" fillId="18" borderId="9" xfId="0" applyNumberFormat="1" applyFont="1" applyFill="1" applyBorder="1" applyAlignment="1">
      <alignment vertical="center"/>
    </xf>
    <xf numFmtId="0" fontId="30" fillId="16" borderId="30" xfId="0" applyFont="1" applyFill="1" applyBorder="1" applyAlignment="1">
      <alignment horizontal="center" vertical="center"/>
    </xf>
    <xf numFmtId="0" fontId="30" fillId="22" borderId="30" xfId="0" applyFont="1" applyFill="1" applyBorder="1" applyAlignment="1">
      <alignment horizontal="center" vertical="center"/>
    </xf>
    <xf numFmtId="170" fontId="31" fillId="16" borderId="10" xfId="3" applyNumberFormat="1" applyFont="1" applyFill="1" applyBorder="1" applyAlignment="1">
      <alignment vertical="center"/>
    </xf>
    <xf numFmtId="173" fontId="31" fillId="16" borderId="10" xfId="0" applyNumberFormat="1" applyFont="1" applyFill="1" applyBorder="1" applyAlignment="1">
      <alignment vertical="center"/>
    </xf>
    <xf numFmtId="170" fontId="30" fillId="16" borderId="10" xfId="3" applyNumberFormat="1" applyFont="1" applyFill="1" applyBorder="1" applyAlignment="1">
      <alignment vertical="center"/>
    </xf>
    <xf numFmtId="170" fontId="31" fillId="22" borderId="10" xfId="3" applyNumberFormat="1" applyFont="1" applyFill="1" applyBorder="1" applyAlignment="1">
      <alignment vertical="center"/>
    </xf>
    <xf numFmtId="172" fontId="31" fillId="22" borderId="10" xfId="0" applyNumberFormat="1" applyFont="1" applyFill="1" applyBorder="1" applyAlignment="1">
      <alignment vertical="center"/>
    </xf>
    <xf numFmtId="170" fontId="30" fillId="22" borderId="10" xfId="3" applyNumberFormat="1" applyFont="1" applyFill="1" applyBorder="1" applyAlignment="1">
      <alignment vertical="center"/>
    </xf>
    <xf numFmtId="168" fontId="0" fillId="2" borderId="9" xfId="0" applyNumberFormat="1" applyFont="1" applyFill="1" applyBorder="1"/>
    <xf numFmtId="174" fontId="3" fillId="2" borderId="9" xfId="0" applyNumberFormat="1" applyFont="1" applyFill="1" applyBorder="1"/>
    <xf numFmtId="174" fontId="0" fillId="2" borderId="0" xfId="0" applyNumberFormat="1" applyFill="1"/>
    <xf numFmtId="165" fontId="0" fillId="2" borderId="0" xfId="1" applyNumberFormat="1" applyFont="1" applyFill="1"/>
    <xf numFmtId="174" fontId="42" fillId="2" borderId="9" xfId="0" applyNumberFormat="1" applyFont="1" applyFill="1" applyBorder="1" applyAlignment="1">
      <alignment horizontal="center" vertical="center"/>
    </xf>
    <xf numFmtId="174" fontId="42" fillId="2" borderId="13" xfId="0" applyNumberFormat="1" applyFont="1" applyFill="1" applyBorder="1" applyAlignment="1">
      <alignment horizontal="center" vertical="center"/>
    </xf>
    <xf numFmtId="175" fontId="0" fillId="2" borderId="9" xfId="3" applyNumberFormat="1" applyFont="1" applyFill="1" applyBorder="1"/>
    <xf numFmtId="174" fontId="47" fillId="2" borderId="9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174" fontId="0" fillId="2" borderId="9" xfId="0" applyNumberFormat="1" applyFill="1" applyBorder="1"/>
    <xf numFmtId="176" fontId="3" fillId="2" borderId="9" xfId="0" applyNumberFormat="1" applyFont="1" applyFill="1" applyBorder="1"/>
    <xf numFmtId="169" fontId="39" fillId="9" borderId="10" xfId="0" applyNumberFormat="1" applyFont="1" applyFill="1" applyBorder="1" applyAlignment="1">
      <alignment horizontal="right" vertical="center" wrapText="1"/>
    </xf>
    <xf numFmtId="41" fontId="0" fillId="2" borderId="10" xfId="0" applyNumberFormat="1" applyFill="1" applyBorder="1"/>
    <xf numFmtId="41" fontId="0" fillId="2" borderId="10" xfId="1" applyFont="1" applyFill="1" applyBorder="1"/>
    <xf numFmtId="41" fontId="1" fillId="2" borderId="10" xfId="1" applyFont="1" applyFill="1" applyBorder="1"/>
    <xf numFmtId="165" fontId="3" fillId="2" borderId="10" xfId="1" applyNumberFormat="1" applyFont="1" applyFill="1" applyBorder="1"/>
    <xf numFmtId="41" fontId="3" fillId="2" borderId="10" xfId="1" applyFont="1" applyFill="1" applyBorder="1"/>
    <xf numFmtId="0" fontId="3" fillId="2" borderId="0" xfId="0" applyFont="1" applyFill="1"/>
    <xf numFmtId="43" fontId="0" fillId="2" borderId="0" xfId="0" applyNumberFormat="1" applyFill="1"/>
    <xf numFmtId="0" fontId="3" fillId="2" borderId="0" xfId="0" applyFont="1" applyFill="1" applyBorder="1" applyAlignment="1">
      <alignment horizontal="left"/>
    </xf>
    <xf numFmtId="177" fontId="33" fillId="18" borderId="9" xfId="0" applyNumberFormat="1" applyFont="1" applyFill="1" applyBorder="1" applyAlignment="1">
      <alignment vertical="center"/>
    </xf>
    <xf numFmtId="10" fontId="34" fillId="14" borderId="12" xfId="2" applyNumberFormat="1" applyFont="1" applyFill="1" applyBorder="1" applyAlignment="1">
      <alignment horizontal="right" vertical="center" wrapText="1"/>
    </xf>
    <xf numFmtId="41" fontId="3" fillId="14" borderId="9" xfId="0" applyNumberFormat="1" applyFont="1" applyFill="1" applyBorder="1"/>
    <xf numFmtId="0" fontId="2" fillId="9" borderId="9" xfId="0" applyFont="1" applyFill="1" applyBorder="1" applyAlignment="1">
      <alignment horizontal="center" vertical="center"/>
    </xf>
    <xf numFmtId="3" fontId="34" fillId="24" borderId="12" xfId="0" applyNumberFormat="1" applyFont="1" applyFill="1" applyBorder="1" applyAlignment="1">
      <alignment horizontal="right" vertical="center" wrapText="1"/>
    </xf>
    <xf numFmtId="170" fontId="35" fillId="24" borderId="12" xfId="3" applyNumberFormat="1" applyFont="1" applyFill="1" applyBorder="1" applyAlignment="1">
      <alignment vertical="center"/>
    </xf>
    <xf numFmtId="170" fontId="35" fillId="24" borderId="41" xfId="3" applyNumberFormat="1" applyFont="1" applyFill="1" applyBorder="1" applyAlignment="1">
      <alignment vertical="center"/>
    </xf>
    <xf numFmtId="170" fontId="34" fillId="24" borderId="36" xfId="3" applyNumberFormat="1" applyFont="1" applyFill="1" applyBorder="1" applyAlignment="1">
      <alignment vertical="center"/>
    </xf>
    <xf numFmtId="170" fontId="35" fillId="24" borderId="33" xfId="3" applyNumberFormat="1" applyFont="1" applyFill="1" applyBorder="1" applyAlignment="1">
      <alignment vertical="center"/>
    </xf>
    <xf numFmtId="170" fontId="34" fillId="24" borderId="12" xfId="3" applyNumberFormat="1" applyFont="1" applyFill="1" applyBorder="1" applyAlignment="1">
      <alignment vertical="center"/>
    </xf>
    <xf numFmtId="170" fontId="34" fillId="24" borderId="9" xfId="3" applyNumberFormat="1" applyFont="1" applyFill="1" applyBorder="1" applyAlignment="1">
      <alignment vertical="center"/>
    </xf>
    <xf numFmtId="170" fontId="35" fillId="24" borderId="9" xfId="3" applyNumberFormat="1" applyFont="1" applyFill="1" applyBorder="1" applyAlignment="1">
      <alignment vertical="center"/>
    </xf>
    <xf numFmtId="170" fontId="34" fillId="24" borderId="43" xfId="3" applyNumberFormat="1" applyFont="1" applyFill="1" applyBorder="1" applyAlignment="1">
      <alignment vertical="center"/>
    </xf>
    <xf numFmtId="170" fontId="34" fillId="24" borderId="28" xfId="3" applyNumberFormat="1" applyFont="1" applyFill="1" applyBorder="1" applyAlignment="1">
      <alignment vertical="center"/>
    </xf>
    <xf numFmtId="170" fontId="32" fillId="24" borderId="12" xfId="3" applyNumberFormat="1" applyFont="1" applyFill="1" applyBorder="1" applyAlignment="1">
      <alignment vertical="center"/>
    </xf>
    <xf numFmtId="0" fontId="32" fillId="16" borderId="9" xfId="5" quotePrefix="1" applyFont="1" applyFill="1" applyBorder="1" applyAlignment="1">
      <alignment horizontal="center" vertical="center"/>
    </xf>
    <xf numFmtId="0" fontId="32" fillId="16" borderId="9" xfId="5" applyFont="1" applyFill="1" applyBorder="1" applyAlignment="1">
      <alignment horizontal="center" vertical="center"/>
    </xf>
    <xf numFmtId="0" fontId="32" fillId="16" borderId="10" xfId="5" quotePrefix="1" applyFont="1" applyFill="1" applyBorder="1" applyAlignment="1">
      <alignment vertical="center"/>
    </xf>
    <xf numFmtId="0" fontId="33" fillId="16" borderId="12" xfId="0" applyFont="1" applyFill="1" applyBorder="1" applyAlignment="1">
      <alignment vertical="center"/>
    </xf>
    <xf numFmtId="171" fontId="32" fillId="16" borderId="9" xfId="0" applyNumberFormat="1" applyFont="1" applyFill="1" applyBorder="1" applyAlignment="1">
      <alignment vertical="center"/>
    </xf>
    <xf numFmtId="170" fontId="0" fillId="2" borderId="0" xfId="0" applyNumberFormat="1" applyFill="1"/>
    <xf numFmtId="0" fontId="10" fillId="8" borderId="23" xfId="0" applyFont="1" applyFill="1" applyBorder="1" applyAlignment="1"/>
    <xf numFmtId="0" fontId="10" fillId="8" borderId="25" xfId="0" applyFont="1" applyFill="1" applyBorder="1" applyAlignment="1"/>
    <xf numFmtId="10" fontId="0" fillId="2" borderId="10" xfId="2" applyNumberFormat="1" applyFont="1" applyFill="1" applyBorder="1"/>
    <xf numFmtId="167" fontId="0" fillId="2" borderId="0" xfId="2" applyNumberFormat="1" applyFont="1" applyFill="1"/>
    <xf numFmtId="167" fontId="0" fillId="2" borderId="0" xfId="2" applyNumberFormat="1" applyFont="1" applyFill="1" applyBorder="1"/>
    <xf numFmtId="167" fontId="0" fillId="2" borderId="0" xfId="0" applyNumberFormat="1" applyFill="1" applyBorder="1"/>
    <xf numFmtId="0" fontId="4" fillId="2" borderId="0" xfId="0" applyFont="1" applyFill="1" applyBorder="1"/>
    <xf numFmtId="41" fontId="0" fillId="2" borderId="0" xfId="0" applyNumberFormat="1" applyFill="1" applyBorder="1"/>
    <xf numFmtId="10" fontId="3" fillId="2" borderId="0" xfId="0" applyNumberFormat="1" applyFont="1" applyFill="1"/>
    <xf numFmtId="0" fontId="2" fillId="9" borderId="17" xfId="0" applyNumberFormat="1" applyFont="1" applyFill="1" applyBorder="1"/>
    <xf numFmtId="0" fontId="2" fillId="9" borderId="48" xfId="0" applyNumberFormat="1" applyFont="1" applyFill="1" applyBorder="1"/>
    <xf numFmtId="10" fontId="3" fillId="2" borderId="12" xfId="2" applyNumberFormat="1" applyFont="1" applyFill="1" applyBorder="1"/>
    <xf numFmtId="10" fontId="0" fillId="2" borderId="12" xfId="2" applyNumberFormat="1" applyFont="1" applyFill="1" applyBorder="1"/>
    <xf numFmtId="166" fontId="52" fillId="2" borderId="9" xfId="6" applyNumberFormat="1" applyFont="1" applyFill="1" applyBorder="1"/>
    <xf numFmtId="1" fontId="0" fillId="8" borderId="9" xfId="0" applyNumberFormat="1" applyFill="1" applyBorder="1"/>
    <xf numFmtId="41" fontId="54" fillId="2" borderId="9" xfId="7" applyFont="1" applyFill="1" applyBorder="1"/>
    <xf numFmtId="0" fontId="0" fillId="2" borderId="0" xfId="0" applyFill="1" applyBorder="1" applyAlignment="1">
      <alignment horizontal="left"/>
    </xf>
    <xf numFmtId="0" fontId="52" fillId="2" borderId="4" xfId="0" applyFont="1" applyFill="1" applyBorder="1"/>
    <xf numFmtId="166" fontId="52" fillId="2" borderId="0" xfId="6" applyNumberFormat="1" applyFont="1" applyFill="1" applyBorder="1"/>
    <xf numFmtId="166" fontId="52" fillId="2" borderId="5" xfId="6" applyNumberFormat="1" applyFont="1" applyFill="1" applyBorder="1"/>
    <xf numFmtId="0" fontId="52" fillId="2" borderId="6" xfId="0" applyFont="1" applyFill="1" applyBorder="1"/>
    <xf numFmtId="179" fontId="54" fillId="2" borderId="7" xfId="8" applyFont="1" applyFill="1" applyBorder="1"/>
    <xf numFmtId="166" fontId="52" fillId="2" borderId="7" xfId="6" applyNumberFormat="1" applyFont="1" applyFill="1" applyBorder="1"/>
    <xf numFmtId="166" fontId="52" fillId="2" borderId="8" xfId="6" applyNumberFormat="1" applyFont="1" applyFill="1" applyBorder="1"/>
    <xf numFmtId="0" fontId="0" fillId="2" borderId="7" xfId="0" applyFill="1" applyBorder="1"/>
    <xf numFmtId="0" fontId="55" fillId="2" borderId="20" xfId="0" applyFont="1" applyFill="1" applyBorder="1"/>
    <xf numFmtId="0" fontId="0" fillId="2" borderId="21" xfId="0" applyFill="1" applyBorder="1"/>
    <xf numFmtId="0" fontId="3" fillId="3" borderId="28" xfId="0" applyNumberFormat="1" applyFont="1" applyFill="1" applyBorder="1"/>
    <xf numFmtId="0" fontId="3" fillId="3" borderId="29" xfId="0" applyNumberFormat="1" applyFont="1" applyFill="1" applyBorder="1"/>
    <xf numFmtId="0" fontId="4" fillId="9" borderId="11" xfId="0" applyFont="1" applyFill="1" applyBorder="1"/>
    <xf numFmtId="1" fontId="0" fillId="8" borderId="9" xfId="1" applyNumberFormat="1" applyFont="1" applyFill="1" applyBorder="1"/>
    <xf numFmtId="0" fontId="3" fillId="2" borderId="0" xfId="0" applyFont="1" applyFill="1" applyBorder="1"/>
    <xf numFmtId="178" fontId="0" fillId="2" borderId="0" xfId="0" applyNumberFormat="1" applyFill="1" applyBorder="1"/>
    <xf numFmtId="0" fontId="2" fillId="2" borderId="0" xfId="0" applyNumberFormat="1" applyFont="1" applyFill="1" applyBorder="1"/>
    <xf numFmtId="0" fontId="2" fillId="3" borderId="28" xfId="0" applyNumberFormat="1" applyFont="1" applyFill="1" applyBorder="1"/>
    <xf numFmtId="0" fontId="3" fillId="3" borderId="17" xfId="0" applyNumberFormat="1" applyFont="1" applyFill="1" applyBorder="1"/>
    <xf numFmtId="0" fontId="3" fillId="3" borderId="48" xfId="0" applyNumberFormat="1" applyFont="1" applyFill="1" applyBorder="1"/>
    <xf numFmtId="0" fontId="2" fillId="9" borderId="16" xfId="0" applyNumberFormat="1" applyFont="1" applyFill="1" applyBorder="1"/>
    <xf numFmtId="179" fontId="54" fillId="2" borderId="9" xfId="8" applyFont="1" applyFill="1" applyBorder="1"/>
    <xf numFmtId="179" fontId="0" fillId="2" borderId="9" xfId="0" applyNumberFormat="1" applyFill="1" applyBorder="1"/>
    <xf numFmtId="3" fontId="7" fillId="2" borderId="9" xfId="0" applyNumberFormat="1" applyFont="1" applyFill="1" applyBorder="1"/>
    <xf numFmtId="41" fontId="7" fillId="6" borderId="9" xfId="1" applyFont="1" applyFill="1" applyBorder="1"/>
    <xf numFmtId="41" fontId="7" fillId="9" borderId="11" xfId="1" applyFont="1" applyFill="1" applyBorder="1"/>
    <xf numFmtId="41" fontId="7" fillId="2" borderId="9" xfId="1" applyFont="1" applyFill="1" applyBorder="1"/>
    <xf numFmtId="0" fontId="4" fillId="4" borderId="6" xfId="0" applyFont="1" applyFill="1" applyBorder="1"/>
    <xf numFmtId="0" fontId="0" fillId="4" borderId="7" xfId="0" applyFill="1" applyBorder="1"/>
    <xf numFmtId="0" fontId="0" fillId="4" borderId="8" xfId="0" applyFill="1" applyBorder="1"/>
    <xf numFmtId="170" fontId="32" fillId="5" borderId="12" xfId="3" applyNumberFormat="1" applyFont="1" applyFill="1" applyBorder="1" applyAlignment="1">
      <alignment vertical="center"/>
    </xf>
    <xf numFmtId="10" fontId="0" fillId="2" borderId="9" xfId="0" applyNumberFormat="1" applyFont="1" applyFill="1" applyBorder="1"/>
    <xf numFmtId="0" fontId="57" fillId="25" borderId="4" xfId="0" applyFont="1" applyFill="1" applyBorder="1" applyAlignment="1"/>
    <xf numFmtId="0" fontId="57" fillId="25" borderId="0" xfId="0" applyFont="1" applyFill="1" applyBorder="1" applyAlignment="1"/>
    <xf numFmtId="0" fontId="4" fillId="25" borderId="6" xfId="0" applyFont="1" applyFill="1" applyBorder="1"/>
    <xf numFmtId="9" fontId="0" fillId="2" borderId="0" xfId="2" applyFont="1" applyFill="1"/>
    <xf numFmtId="9" fontId="0" fillId="2" borderId="0" xfId="0" applyNumberFormat="1" applyFill="1"/>
    <xf numFmtId="166" fontId="0" fillId="2" borderId="9" xfId="9" applyNumberFormat="1" applyFont="1" applyFill="1" applyBorder="1"/>
    <xf numFmtId="0" fontId="2" fillId="9" borderId="50" xfId="0" applyNumberFormat="1" applyFont="1" applyFill="1" applyBorder="1"/>
    <xf numFmtId="0" fontId="2" fillId="9" borderId="51" xfId="0" applyNumberFormat="1" applyFont="1" applyFill="1" applyBorder="1"/>
    <xf numFmtId="10" fontId="0" fillId="2" borderId="32" xfId="2" applyNumberFormat="1" applyFont="1" applyFill="1" applyBorder="1"/>
    <xf numFmtId="10" fontId="0" fillId="2" borderId="46" xfId="2" applyNumberFormat="1" applyFont="1" applyFill="1" applyBorder="1"/>
    <xf numFmtId="10" fontId="3" fillId="12" borderId="32" xfId="0" applyNumberFormat="1" applyFont="1" applyFill="1" applyBorder="1"/>
    <xf numFmtId="10" fontId="3" fillId="12" borderId="46" xfId="0" applyNumberFormat="1" applyFont="1" applyFill="1" applyBorder="1"/>
    <xf numFmtId="10" fontId="3" fillId="2" borderId="0" xfId="2" applyNumberFormat="1" applyFont="1" applyFill="1" applyBorder="1" applyAlignment="1">
      <alignment horizontal="center"/>
    </xf>
    <xf numFmtId="10" fontId="3" fillId="27" borderId="33" xfId="0" applyNumberFormat="1" applyFont="1" applyFill="1" applyBorder="1"/>
    <xf numFmtId="10" fontId="3" fillId="27" borderId="47" xfId="0" applyNumberFormat="1" applyFont="1" applyFill="1" applyBorder="1"/>
    <xf numFmtId="10" fontId="3" fillId="28" borderId="33" xfId="0" applyNumberFormat="1" applyFont="1" applyFill="1" applyBorder="1"/>
    <xf numFmtId="10" fontId="3" fillId="28" borderId="47" xfId="0" applyNumberFormat="1" applyFont="1" applyFill="1" applyBorder="1"/>
    <xf numFmtId="10" fontId="3" fillId="28" borderId="34" xfId="2" applyNumberFormat="1" applyFont="1" applyFill="1" applyBorder="1"/>
    <xf numFmtId="0" fontId="2" fillId="9" borderId="35" xfId="0" applyNumberFormat="1" applyFont="1" applyFill="1" applyBorder="1"/>
    <xf numFmtId="10" fontId="3" fillId="27" borderId="41" xfId="2" applyNumberFormat="1" applyFont="1" applyFill="1" applyBorder="1"/>
    <xf numFmtId="0" fontId="3" fillId="2" borderId="26" xfId="0" applyFont="1" applyFill="1" applyBorder="1"/>
    <xf numFmtId="0" fontId="3" fillId="2" borderId="53" xfId="0" applyFont="1" applyFill="1" applyBorder="1"/>
    <xf numFmtId="0" fontId="2" fillId="3" borderId="54" xfId="0" applyNumberFormat="1" applyFont="1" applyFill="1" applyBorder="1"/>
    <xf numFmtId="0" fontId="2" fillId="9" borderId="54" xfId="0" applyNumberFormat="1" applyFont="1" applyFill="1" applyBorder="1"/>
    <xf numFmtId="0" fontId="2" fillId="9" borderId="45" xfId="0" applyNumberFormat="1" applyFont="1" applyFill="1" applyBorder="1"/>
    <xf numFmtId="0" fontId="2" fillId="3" borderId="31" xfId="0" applyNumberFormat="1" applyFont="1" applyFill="1" applyBorder="1"/>
    <xf numFmtId="0" fontId="2" fillId="3" borderId="45" xfId="0" applyNumberFormat="1" applyFont="1" applyFill="1" applyBorder="1"/>
    <xf numFmtId="10" fontId="0" fillId="26" borderId="32" xfId="2" applyNumberFormat="1" applyFont="1" applyFill="1" applyBorder="1"/>
    <xf numFmtId="10" fontId="3" fillId="11" borderId="46" xfId="0" applyNumberFormat="1" applyFont="1" applyFill="1" applyBorder="1"/>
    <xf numFmtId="0" fontId="2" fillId="9" borderId="31" xfId="0" applyNumberFormat="1" applyFont="1" applyFill="1" applyBorder="1"/>
    <xf numFmtId="0" fontId="51" fillId="2" borderId="34" xfId="0" applyFont="1" applyFill="1" applyBorder="1"/>
    <xf numFmtId="0" fontId="14" fillId="2" borderId="9" xfId="0" applyFont="1" applyFill="1" applyBorder="1"/>
    <xf numFmtId="0" fontId="3" fillId="2" borderId="55" xfId="0" applyFont="1" applyFill="1" applyBorder="1"/>
    <xf numFmtId="167" fontId="0" fillId="2" borderId="56" xfId="0" applyNumberFormat="1" applyFill="1" applyBorder="1"/>
    <xf numFmtId="167" fontId="0" fillId="2" borderId="57" xfId="0" applyNumberFormat="1" applyFill="1" applyBorder="1"/>
    <xf numFmtId="0" fontId="3" fillId="2" borderId="27" xfId="0" applyFont="1" applyFill="1" applyBorder="1"/>
    <xf numFmtId="0" fontId="3" fillId="27" borderId="28" xfId="0" applyFont="1" applyFill="1" applyBorder="1"/>
    <xf numFmtId="0" fontId="3" fillId="27" borderId="29" xfId="0" applyFont="1" applyFill="1" applyBorder="1"/>
    <xf numFmtId="0" fontId="2" fillId="9" borderId="27" xfId="0" applyFont="1" applyFill="1" applyBorder="1"/>
    <xf numFmtId="0" fontId="2" fillId="9" borderId="28" xfId="0" applyFont="1" applyFill="1" applyBorder="1"/>
    <xf numFmtId="0" fontId="2" fillId="9" borderId="29" xfId="0" applyFont="1" applyFill="1" applyBorder="1"/>
    <xf numFmtId="0" fontId="4" fillId="7" borderId="38" xfId="0" applyFont="1" applyFill="1" applyBorder="1"/>
    <xf numFmtId="0" fontId="2" fillId="3" borderId="29" xfId="0" applyNumberFormat="1" applyFont="1" applyFill="1" applyBorder="1"/>
    <xf numFmtId="10" fontId="2" fillId="9" borderId="13" xfId="0" applyNumberFormat="1" applyFont="1" applyFill="1" applyBorder="1"/>
    <xf numFmtId="10" fontId="2" fillId="9" borderId="15" xfId="0" applyNumberFormat="1" applyFont="1" applyFill="1" applyBorder="1"/>
    <xf numFmtId="0" fontId="15" fillId="2" borderId="0" xfId="0" applyFont="1" applyFill="1" applyBorder="1"/>
    <xf numFmtId="10" fontId="15" fillId="2" borderId="0" xfId="2" applyNumberFormat="1" applyFont="1" applyFill="1" applyBorder="1"/>
    <xf numFmtId="0" fontId="2" fillId="9" borderId="27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180" fontId="34" fillId="18" borderId="9" xfId="0" applyNumberFormat="1" applyFont="1" applyFill="1" applyBorder="1" applyAlignment="1">
      <alignment horizontal="left" vertical="center"/>
    </xf>
    <xf numFmtId="174" fontId="44" fillId="9" borderId="9" xfId="0" applyNumberFormat="1" applyFont="1" applyFill="1" applyBorder="1" applyAlignment="1">
      <alignment horizontal="center"/>
    </xf>
    <xf numFmtId="174" fontId="2" fillId="9" borderId="9" xfId="0" applyNumberFormat="1" applyFont="1" applyFill="1" applyBorder="1"/>
    <xf numFmtId="176" fontId="45" fillId="9" borderId="9" xfId="0" applyNumberFormat="1" applyFont="1" applyFill="1" applyBorder="1" applyAlignment="1">
      <alignment horizontal="right"/>
    </xf>
    <xf numFmtId="170" fontId="34" fillId="2" borderId="9" xfId="3" applyNumberFormat="1" applyFont="1" applyFill="1" applyBorder="1" applyAlignment="1">
      <alignment vertical="center"/>
    </xf>
    <xf numFmtId="170" fontId="35" fillId="2" borderId="9" xfId="3" applyNumberFormat="1" applyFont="1" applyFill="1" applyBorder="1" applyAlignment="1">
      <alignment vertical="center"/>
    </xf>
    <xf numFmtId="0" fontId="59" fillId="9" borderId="9" xfId="0" applyFont="1" applyFill="1" applyBorder="1" applyAlignment="1">
      <alignment horizontal="center" vertical="center" wrapText="1"/>
    </xf>
    <xf numFmtId="176" fontId="7" fillId="20" borderId="30" xfId="0" applyNumberFormat="1" applyFont="1" applyFill="1" applyBorder="1"/>
    <xf numFmtId="0" fontId="3" fillId="20" borderId="30" xfId="0" applyFont="1" applyFill="1" applyBorder="1"/>
    <xf numFmtId="176" fontId="3" fillId="2" borderId="26" xfId="0" applyNumberFormat="1" applyFont="1" applyFill="1" applyBorder="1"/>
    <xf numFmtId="176" fontId="3" fillId="2" borderId="52" xfId="0" applyNumberFormat="1" applyFont="1" applyFill="1" applyBorder="1"/>
    <xf numFmtId="176" fontId="3" fillId="2" borderId="53" xfId="0" applyNumberFormat="1" applyFont="1" applyFill="1" applyBorder="1"/>
    <xf numFmtId="0" fontId="3" fillId="15" borderId="28" xfId="0" applyFont="1" applyFill="1" applyBorder="1" applyAlignment="1">
      <alignment horizontal="center" vertical="center" wrapText="1"/>
    </xf>
    <xf numFmtId="0" fontId="3" fillId="15" borderId="28" xfId="0" applyFont="1" applyFill="1" applyBorder="1" applyAlignment="1">
      <alignment horizontal="center" vertical="center"/>
    </xf>
    <xf numFmtId="0" fontId="3" fillId="15" borderId="29" xfId="0" applyFont="1" applyFill="1" applyBorder="1" applyAlignment="1">
      <alignment horizontal="center" vertical="center" wrapText="1"/>
    </xf>
    <xf numFmtId="41" fontId="0" fillId="2" borderId="31" xfId="0" applyNumberFormat="1" applyFill="1" applyBorder="1"/>
    <xf numFmtId="41" fontId="0" fillId="2" borderId="54" xfId="0" applyNumberFormat="1" applyFill="1" applyBorder="1"/>
    <xf numFmtId="176" fontId="3" fillId="2" borderId="54" xfId="0" applyNumberFormat="1" applyFont="1" applyFill="1" applyBorder="1"/>
    <xf numFmtId="2" fontId="0" fillId="2" borderId="45" xfId="0" applyNumberFormat="1" applyFill="1" applyBorder="1"/>
    <xf numFmtId="41" fontId="0" fillId="2" borderId="32" xfId="0" applyNumberFormat="1" applyFill="1" applyBorder="1"/>
    <xf numFmtId="2" fontId="0" fillId="2" borderId="46" xfId="0" applyNumberFormat="1" applyFill="1" applyBorder="1"/>
    <xf numFmtId="174" fontId="0" fillId="2" borderId="32" xfId="0" applyNumberFormat="1" applyFill="1" applyBorder="1"/>
    <xf numFmtId="174" fontId="0" fillId="2" borderId="34" xfId="0" applyNumberFormat="1" applyFill="1" applyBorder="1"/>
    <xf numFmtId="41" fontId="0" fillId="2" borderId="33" xfId="0" applyNumberFormat="1" applyFill="1" applyBorder="1"/>
    <xf numFmtId="176" fontId="3" fillId="2" borderId="33" xfId="0" applyNumberFormat="1" applyFont="1" applyFill="1" applyBorder="1"/>
    <xf numFmtId="2" fontId="0" fillId="2" borderId="47" xfId="0" applyNumberFormat="1" applyFill="1" applyBorder="1"/>
    <xf numFmtId="3" fontId="34" fillId="18" borderId="12" xfId="0" applyNumberFormat="1" applyFont="1" applyFill="1" applyBorder="1" applyAlignment="1">
      <alignment horizontal="right" vertical="center" wrapText="1"/>
    </xf>
    <xf numFmtId="170" fontId="35" fillId="18" borderId="12" xfId="3" applyNumberFormat="1" applyFont="1" applyFill="1" applyBorder="1" applyAlignment="1">
      <alignment vertical="center"/>
    </xf>
    <xf numFmtId="170" fontId="35" fillId="18" borderId="41" xfId="3" applyNumberFormat="1" applyFont="1" applyFill="1" applyBorder="1" applyAlignment="1">
      <alignment vertical="center"/>
    </xf>
    <xf numFmtId="170" fontId="34" fillId="18" borderId="36" xfId="3" applyNumberFormat="1" applyFont="1" applyFill="1" applyBorder="1" applyAlignment="1">
      <alignment vertical="center"/>
    </xf>
    <xf numFmtId="170" fontId="34" fillId="18" borderId="12" xfId="3" applyNumberFormat="1" applyFont="1" applyFill="1" applyBorder="1" applyAlignment="1">
      <alignment vertical="center"/>
    </xf>
    <xf numFmtId="170" fontId="35" fillId="18" borderId="9" xfId="3" applyNumberFormat="1" applyFont="1" applyFill="1" applyBorder="1" applyAlignment="1">
      <alignment vertical="center"/>
    </xf>
    <xf numFmtId="170" fontId="34" fillId="18" borderId="43" xfId="3" applyNumberFormat="1" applyFont="1" applyFill="1" applyBorder="1" applyAlignment="1">
      <alignment vertical="center"/>
    </xf>
    <xf numFmtId="0" fontId="35" fillId="21" borderId="4" xfId="0" applyFont="1" applyFill="1" applyBorder="1" applyAlignment="1">
      <alignment vertical="center"/>
    </xf>
    <xf numFmtId="0" fontId="34" fillId="21" borderId="4" xfId="0" applyFont="1" applyFill="1" applyBorder="1" applyAlignment="1">
      <alignment horizontal="center" vertical="center"/>
    </xf>
    <xf numFmtId="170" fontId="32" fillId="18" borderId="12" xfId="3" applyNumberFormat="1" applyFont="1" applyFill="1" applyBorder="1" applyAlignment="1">
      <alignment vertical="center"/>
    </xf>
    <xf numFmtId="0" fontId="0" fillId="20" borderId="10" xfId="0" applyFill="1" applyBorder="1" applyAlignment="1"/>
    <xf numFmtId="0" fontId="0" fillId="20" borderId="11" xfId="0" applyFill="1" applyBorder="1" applyAlignment="1"/>
    <xf numFmtId="0" fontId="0" fillId="20" borderId="12" xfId="0" applyFill="1" applyBorder="1" applyAlignment="1"/>
    <xf numFmtId="41" fontId="3" fillId="2" borderId="37" xfId="1" applyFont="1" applyFill="1" applyBorder="1"/>
    <xf numFmtId="0" fontId="0" fillId="20" borderId="38" xfId="0" applyFill="1" applyBorder="1" applyAlignment="1"/>
    <xf numFmtId="0" fontId="3" fillId="20" borderId="10" xfId="0" applyFont="1" applyFill="1" applyBorder="1" applyAlignment="1"/>
    <xf numFmtId="170" fontId="3" fillId="2" borderId="58" xfId="0" applyNumberFormat="1" applyFont="1" applyFill="1" applyBorder="1"/>
    <xf numFmtId="170" fontId="3" fillId="2" borderId="14" xfId="0" applyNumberFormat="1" applyFont="1" applyFill="1" applyBorder="1"/>
    <xf numFmtId="170" fontId="3" fillId="2" borderId="15" xfId="0" applyNumberFormat="1" applyFont="1" applyFill="1" applyBorder="1"/>
    <xf numFmtId="0" fontId="3" fillId="20" borderId="11" xfId="0" applyFont="1" applyFill="1" applyBorder="1" applyAlignment="1"/>
    <xf numFmtId="0" fontId="3" fillId="20" borderId="12" xfId="0" applyFont="1" applyFill="1" applyBorder="1" applyAlignment="1"/>
    <xf numFmtId="0" fontId="0" fillId="20" borderId="58" xfId="0" applyFill="1" applyBorder="1" applyAlignment="1"/>
    <xf numFmtId="0" fontId="0" fillId="20" borderId="37" xfId="0" applyFill="1" applyBorder="1" applyAlignment="1"/>
    <xf numFmtId="0" fontId="0" fillId="20" borderId="40" xfId="0" applyFill="1" applyBorder="1" applyAlignment="1"/>
    <xf numFmtId="10" fontId="0" fillId="2" borderId="59" xfId="0" applyNumberFormat="1" applyFill="1" applyBorder="1"/>
    <xf numFmtId="170" fontId="3" fillId="2" borderId="13" xfId="0" applyNumberFormat="1" applyFont="1" applyFill="1" applyBorder="1"/>
    <xf numFmtId="10" fontId="34" fillId="2" borderId="12" xfId="2" applyNumberFormat="1" applyFont="1" applyFill="1" applyBorder="1" applyAlignment="1">
      <alignment horizontal="right" vertical="center" wrapText="1"/>
    </xf>
    <xf numFmtId="41" fontId="0" fillId="2" borderId="9" xfId="1" applyNumberFormat="1" applyFont="1" applyFill="1" applyBorder="1"/>
    <xf numFmtId="167" fontId="0" fillId="2" borderId="9" xfId="2" applyNumberFormat="1" applyFont="1" applyFill="1" applyBorder="1"/>
    <xf numFmtId="10" fontId="2" fillId="6" borderId="9" xfId="0" applyNumberFormat="1" applyFont="1" applyFill="1" applyBorder="1"/>
    <xf numFmtId="0" fontId="2" fillId="6" borderId="9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 vertical="center" wrapText="1"/>
    </xf>
    <xf numFmtId="174" fontId="44" fillId="6" borderId="9" xfId="0" applyNumberFormat="1" applyFont="1" applyFill="1" applyBorder="1" applyAlignment="1">
      <alignment horizontal="center"/>
    </xf>
    <xf numFmtId="174" fontId="2" fillId="6" borderId="9" xfId="0" applyNumberFormat="1" applyFont="1" applyFill="1" applyBorder="1"/>
    <xf numFmtId="176" fontId="45" fillId="6" borderId="9" xfId="0" applyNumberFormat="1" applyFont="1" applyFill="1" applyBorder="1" applyAlignment="1">
      <alignment horizontal="right"/>
    </xf>
    <xf numFmtId="170" fontId="33" fillId="2" borderId="9" xfId="3" applyNumberFormat="1" applyFont="1" applyFill="1" applyBorder="1" applyAlignment="1">
      <alignment vertical="center"/>
    </xf>
    <xf numFmtId="177" fontId="33" fillId="2" borderId="9" xfId="0" applyNumberFormat="1" applyFont="1" applyFill="1" applyBorder="1" applyAlignment="1">
      <alignment vertical="center"/>
    </xf>
    <xf numFmtId="172" fontId="32" fillId="2" borderId="9" xfId="0" applyNumberFormat="1" applyFont="1" applyFill="1" applyBorder="1" applyAlignment="1">
      <alignment vertical="center"/>
    </xf>
    <xf numFmtId="170" fontId="31" fillId="2" borderId="10" xfId="3" applyNumberFormat="1" applyFont="1" applyFill="1" applyBorder="1" applyAlignment="1">
      <alignment vertical="center"/>
    </xf>
    <xf numFmtId="173" fontId="31" fillId="2" borderId="10" xfId="0" applyNumberFormat="1" applyFont="1" applyFill="1" applyBorder="1" applyAlignment="1">
      <alignment vertical="center"/>
    </xf>
    <xf numFmtId="170" fontId="30" fillId="2" borderId="10" xfId="3" applyNumberFormat="1" applyFont="1" applyFill="1" applyBorder="1" applyAlignment="1">
      <alignment vertical="center"/>
    </xf>
    <xf numFmtId="172" fontId="31" fillId="2" borderId="10" xfId="0" applyNumberFormat="1" applyFont="1" applyFill="1" applyBorder="1" applyAlignment="1">
      <alignment vertical="center"/>
    </xf>
    <xf numFmtId="180" fontId="32" fillId="16" borderId="9" xfId="0" applyNumberFormat="1" applyFont="1" applyFill="1" applyBorder="1" applyAlignment="1">
      <alignment horizontal="left" vertical="center"/>
    </xf>
    <xf numFmtId="176" fontId="45" fillId="6" borderId="10" xfId="0" applyNumberFormat="1" applyFont="1" applyFill="1" applyBorder="1" applyAlignment="1">
      <alignment horizontal="right"/>
    </xf>
    <xf numFmtId="0" fontId="2" fillId="6" borderId="1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59" fillId="6" borderId="9" xfId="0" applyFont="1" applyFill="1" applyBorder="1" applyAlignment="1">
      <alignment horizontal="center" vertical="center" wrapText="1"/>
    </xf>
    <xf numFmtId="2" fontId="0" fillId="2" borderId="52" xfId="0" applyNumberFormat="1" applyFill="1" applyBorder="1"/>
    <xf numFmtId="2" fontId="0" fillId="2" borderId="53" xfId="0" applyNumberFormat="1" applyFill="1" applyBorder="1"/>
    <xf numFmtId="41" fontId="0" fillId="2" borderId="52" xfId="0" applyNumberFormat="1" applyFill="1" applyBorder="1"/>
    <xf numFmtId="41" fontId="0" fillId="2" borderId="53" xfId="0" applyNumberFormat="1" applyFill="1" applyBorder="1"/>
    <xf numFmtId="176" fontId="3" fillId="2" borderId="60" xfId="0" applyNumberFormat="1" applyFont="1" applyFill="1" applyBorder="1"/>
    <xf numFmtId="2" fontId="0" fillId="2" borderId="60" xfId="0" applyNumberFormat="1" applyFill="1" applyBorder="1"/>
    <xf numFmtId="41" fontId="0" fillId="2" borderId="60" xfId="0" applyNumberFormat="1" applyFill="1" applyBorder="1"/>
    <xf numFmtId="0" fontId="45" fillId="9" borderId="30" xfId="0" applyFont="1" applyFill="1" applyBorder="1" applyAlignment="1">
      <alignment horizontal="center" vertical="center"/>
    </xf>
    <xf numFmtId="0" fontId="45" fillId="6" borderId="30" xfId="0" applyFont="1" applyFill="1" applyBorder="1" applyAlignment="1">
      <alignment horizontal="center" vertical="center" wrapText="1"/>
    </xf>
    <xf numFmtId="0" fontId="7" fillId="20" borderId="30" xfId="0" applyFont="1" applyFill="1" applyBorder="1" applyAlignment="1">
      <alignment horizontal="center" vertical="center" wrapText="1"/>
    </xf>
    <xf numFmtId="43" fontId="0" fillId="2" borderId="0" xfId="9" applyFont="1" applyFill="1"/>
    <xf numFmtId="41" fontId="3" fillId="2" borderId="9" xfId="1" applyNumberFormat="1" applyFont="1" applyFill="1" applyBorder="1"/>
    <xf numFmtId="181" fontId="0" fillId="2" borderId="0" xfId="0" applyNumberFormat="1" applyFill="1"/>
    <xf numFmtId="0" fontId="2" fillId="3" borderId="35" xfId="0" applyNumberFormat="1" applyFont="1" applyFill="1" applyBorder="1"/>
    <xf numFmtId="10" fontId="0" fillId="8" borderId="12" xfId="2" applyNumberFormat="1" applyFont="1" applyFill="1" applyBorder="1"/>
    <xf numFmtId="10" fontId="0" fillId="8" borderId="12" xfId="0" applyNumberFormat="1" applyFill="1" applyBorder="1"/>
    <xf numFmtId="10" fontId="1" fillId="2" borderId="12" xfId="2" applyNumberFormat="1" applyFont="1" applyFill="1" applyBorder="1"/>
    <xf numFmtId="10" fontId="1" fillId="2" borderId="9" xfId="2" applyNumberFormat="1" applyFont="1" applyFill="1" applyBorder="1"/>
    <xf numFmtId="165" fontId="0" fillId="2" borderId="9" xfId="1" applyNumberFormat="1" applyFont="1" applyFill="1" applyBorder="1"/>
    <xf numFmtId="0" fontId="0" fillId="2" borderId="0" xfId="0" applyFill="1"/>
    <xf numFmtId="10" fontId="0" fillId="2" borderId="9" xfId="2" applyNumberFormat="1" applyFont="1" applyFill="1" applyBorder="1"/>
    <xf numFmtId="10" fontId="3" fillId="2" borderId="9" xfId="2" applyNumberFormat="1" applyFont="1" applyFill="1" applyBorder="1"/>
    <xf numFmtId="10" fontId="3" fillId="2" borderId="9" xfId="0" applyNumberFormat="1" applyFont="1" applyFill="1" applyBorder="1"/>
    <xf numFmtId="10" fontId="0" fillId="2" borderId="9" xfId="0" applyNumberFormat="1" applyFill="1" applyBorder="1"/>
    <xf numFmtId="10" fontId="0" fillId="2" borderId="10" xfId="0" applyNumberFormat="1" applyFill="1" applyBorder="1"/>
    <xf numFmtId="166" fontId="0" fillId="2" borderId="9" xfId="0" applyNumberFormat="1" applyFill="1" applyBorder="1"/>
    <xf numFmtId="10" fontId="0" fillId="2" borderId="0" xfId="2" applyNumberFormat="1" applyFont="1" applyFill="1"/>
    <xf numFmtId="0" fontId="0" fillId="2" borderId="0" xfId="0" applyFont="1" applyFill="1"/>
    <xf numFmtId="167" fontId="15" fillId="2" borderId="9" xfId="0" applyNumberFormat="1" applyFont="1" applyFill="1" applyBorder="1" applyAlignment="1">
      <alignment horizontal="center"/>
    </xf>
    <xf numFmtId="167" fontId="14" fillId="2" borderId="9" xfId="0" applyNumberFormat="1" applyFont="1" applyFill="1" applyBorder="1" applyAlignment="1">
      <alignment horizontal="center"/>
    </xf>
    <xf numFmtId="10" fontId="15" fillId="2" borderId="10" xfId="0" applyNumberFormat="1" applyFont="1" applyFill="1" applyBorder="1" applyAlignment="1">
      <alignment horizontal="center"/>
    </xf>
    <xf numFmtId="10" fontId="15" fillId="2" borderId="10" xfId="2" applyNumberFormat="1" applyFont="1" applyFill="1" applyBorder="1" applyAlignment="1">
      <alignment horizontal="center"/>
    </xf>
    <xf numFmtId="10" fontId="14" fillId="2" borderId="10" xfId="2" applyNumberFormat="1" applyFont="1" applyFill="1" applyBorder="1" applyAlignment="1">
      <alignment horizontal="center"/>
    </xf>
    <xf numFmtId="2" fontId="3" fillId="2" borderId="9" xfId="0" applyNumberFormat="1" applyFont="1" applyFill="1" applyBorder="1"/>
    <xf numFmtId="0" fontId="3" fillId="2" borderId="9" xfId="0" applyFont="1" applyFill="1" applyBorder="1"/>
    <xf numFmtId="10" fontId="34" fillId="14" borderId="12" xfId="2" applyNumberFormat="1" applyFont="1" applyFill="1" applyBorder="1" applyAlignment="1">
      <alignment horizontal="right" vertical="center" wrapText="1"/>
    </xf>
    <xf numFmtId="0" fontId="4" fillId="9" borderId="11" xfId="0" applyFont="1" applyFill="1" applyBorder="1"/>
    <xf numFmtId="41" fontId="0" fillId="2" borderId="9" xfId="0" applyNumberFormat="1" applyFill="1" applyBorder="1"/>
    <xf numFmtId="3" fontId="7" fillId="2" borderId="9" xfId="0" applyNumberFormat="1" applyFont="1" applyFill="1" applyBorder="1"/>
    <xf numFmtId="167" fontId="0" fillId="2" borderId="56" xfId="0" applyNumberFormat="1" applyFill="1" applyBorder="1"/>
    <xf numFmtId="167" fontId="0" fillId="2" borderId="57" xfId="0" applyNumberFormat="1" applyFill="1" applyBorder="1"/>
    <xf numFmtId="167" fontId="0" fillId="2" borderId="55" xfId="0" applyNumberFormat="1" applyFill="1" applyBorder="1"/>
    <xf numFmtId="167" fontId="0" fillId="2" borderId="9" xfId="2" applyNumberFormat="1" applyFont="1" applyFill="1" applyBorder="1"/>
    <xf numFmtId="0" fontId="0" fillId="2" borderId="10" xfId="0" applyFill="1" applyBorder="1"/>
    <xf numFmtId="0" fontId="0" fillId="25" borderId="7" xfId="0" applyFont="1" applyFill="1" applyBorder="1"/>
    <xf numFmtId="0" fontId="0" fillId="25" borderId="8" xfId="0" applyFont="1" applyFill="1" applyBorder="1"/>
    <xf numFmtId="167" fontId="0" fillId="2" borderId="56" xfId="0" applyNumberFormat="1" applyFont="1" applyFill="1" applyBorder="1"/>
    <xf numFmtId="167" fontId="0" fillId="2" borderId="57" xfId="0" applyNumberFormat="1" applyFont="1" applyFill="1" applyBorder="1"/>
    <xf numFmtId="167" fontId="0" fillId="2" borderId="55" xfId="0" applyNumberFormat="1" applyFont="1" applyFill="1" applyBorder="1"/>
    <xf numFmtId="0" fontId="64" fillId="2" borderId="1" xfId="0" applyFont="1" applyFill="1" applyBorder="1" applyAlignment="1"/>
    <xf numFmtId="0" fontId="64" fillId="2" borderId="2" xfId="0" applyFont="1" applyFill="1" applyBorder="1" applyAlignment="1"/>
    <xf numFmtId="0" fontId="60" fillId="8" borderId="23" xfId="0" applyFont="1" applyFill="1" applyBorder="1" applyAlignment="1"/>
    <xf numFmtId="0" fontId="60" fillId="8" borderId="5" xfId="0" applyFont="1" applyFill="1" applyBorder="1" applyAlignment="1"/>
    <xf numFmtId="0" fontId="0" fillId="2" borderId="52" xfId="0" applyFont="1" applyFill="1" applyBorder="1"/>
    <xf numFmtId="10" fontId="0" fillId="2" borderId="12" xfId="0" applyNumberFormat="1" applyFont="1" applyFill="1" applyBorder="1"/>
    <xf numFmtId="10" fontId="0" fillId="2" borderId="46" xfId="0" applyNumberFormat="1" applyFont="1" applyFill="1" applyBorder="1"/>
    <xf numFmtId="10" fontId="0" fillId="2" borderId="32" xfId="0" applyNumberFormat="1" applyFont="1" applyFill="1" applyBorder="1"/>
    <xf numFmtId="10" fontId="0" fillId="8" borderId="32" xfId="0" applyNumberFormat="1" applyFont="1" applyFill="1" applyBorder="1"/>
    <xf numFmtId="0" fontId="60" fillId="8" borderId="25" xfId="0" applyFont="1" applyFill="1" applyBorder="1" applyAlignment="1"/>
    <xf numFmtId="166" fontId="65" fillId="2" borderId="9" xfId="6" applyNumberFormat="1" applyFont="1" applyFill="1" applyBorder="1"/>
    <xf numFmtId="0" fontId="0" fillId="2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41" fontId="0" fillId="2" borderId="0" xfId="0" applyNumberFormat="1" applyFont="1" applyFill="1" applyBorder="1"/>
    <xf numFmtId="178" fontId="0" fillId="2" borderId="0" xfId="0" applyNumberFormat="1" applyFont="1" applyFill="1" applyBorder="1"/>
    <xf numFmtId="167" fontId="0" fillId="2" borderId="0" xfId="0" applyNumberFormat="1" applyFont="1" applyFill="1" applyBorder="1"/>
    <xf numFmtId="41" fontId="0" fillId="2" borderId="0" xfId="0" applyNumberFormat="1" applyFont="1" applyFill="1"/>
    <xf numFmtId="41" fontId="66" fillId="2" borderId="9" xfId="7" applyFont="1" applyFill="1" applyBorder="1"/>
    <xf numFmtId="0" fontId="7" fillId="2" borderId="20" xfId="0" applyFont="1" applyFill="1" applyBorder="1"/>
    <xf numFmtId="0" fontId="0" fillId="2" borderId="21" xfId="0" applyFont="1" applyFill="1" applyBorder="1"/>
    <xf numFmtId="0" fontId="65" fillId="2" borderId="4" xfId="0" applyFont="1" applyFill="1" applyBorder="1"/>
    <xf numFmtId="166" fontId="0" fillId="2" borderId="9" xfId="0" applyNumberFormat="1" applyFont="1" applyFill="1" applyBorder="1"/>
    <xf numFmtId="0" fontId="65" fillId="2" borderId="6" xfId="0" applyFont="1" applyFill="1" applyBorder="1"/>
    <xf numFmtId="0" fontId="0" fillId="2" borderId="7" xfId="0" applyFont="1" applyFill="1" applyBorder="1"/>
    <xf numFmtId="179" fontId="66" fillId="2" borderId="9" xfId="8" applyFont="1" applyFill="1" applyBorder="1"/>
    <xf numFmtId="179" fontId="0" fillId="2" borderId="9" xfId="0" applyNumberFormat="1" applyFont="1" applyFill="1" applyBorder="1"/>
    <xf numFmtId="167" fontId="0" fillId="2" borderId="0" xfId="0" applyNumberFormat="1" applyFill="1"/>
    <xf numFmtId="10" fontId="0" fillId="0" borderId="32" xfId="0" applyNumberFormat="1" applyFont="1" applyFill="1" applyBorder="1"/>
    <xf numFmtId="10" fontId="0" fillId="0" borderId="9" xfId="0" applyNumberFormat="1" applyFont="1" applyFill="1" applyBorder="1"/>
    <xf numFmtId="10" fontId="0" fillId="0" borderId="46" xfId="0" applyNumberFormat="1" applyFont="1" applyFill="1" applyBorder="1"/>
    <xf numFmtId="0" fontId="3" fillId="3" borderId="9" xfId="0" applyNumberFormat="1" applyFont="1" applyFill="1" applyBorder="1"/>
    <xf numFmtId="164" fontId="0" fillId="2" borderId="0" xfId="3" applyFont="1" applyFill="1"/>
    <xf numFmtId="41" fontId="0" fillId="2" borderId="9" xfId="0" applyNumberFormat="1" applyFont="1" applyFill="1" applyBorder="1"/>
    <xf numFmtId="43" fontId="0" fillId="2" borderId="9" xfId="0" applyNumberFormat="1" applyFont="1" applyFill="1" applyBorder="1"/>
    <xf numFmtId="9" fontId="0" fillId="2" borderId="9" xfId="2" applyFont="1" applyFill="1" applyBorder="1" applyAlignment="1">
      <alignment horizontal="right"/>
    </xf>
    <xf numFmtId="165" fontId="0" fillId="2" borderId="9" xfId="0" applyNumberFormat="1" applyFont="1" applyFill="1" applyBorder="1"/>
    <xf numFmtId="2" fontId="0" fillId="2" borderId="9" xfId="0" applyNumberFormat="1" applyFont="1" applyFill="1" applyBorder="1"/>
    <xf numFmtId="9" fontId="0" fillId="2" borderId="9" xfId="2" applyFont="1" applyFill="1" applyBorder="1"/>
    <xf numFmtId="166" fontId="0" fillId="2" borderId="0" xfId="9" applyNumberFormat="1" applyFont="1" applyFill="1"/>
    <xf numFmtId="0" fontId="51" fillId="2" borderId="0" xfId="0" applyFont="1" applyFill="1" applyBorder="1" applyAlignment="1">
      <alignment horizontal="center"/>
    </xf>
    <xf numFmtId="10" fontId="0" fillId="2" borderId="64" xfId="0" applyNumberFormat="1" applyFont="1" applyFill="1" applyBorder="1"/>
    <xf numFmtId="10" fontId="0" fillId="2" borderId="64" xfId="2" applyNumberFormat="1" applyFont="1" applyFill="1" applyBorder="1"/>
    <xf numFmtId="10" fontId="3" fillId="27" borderId="65" xfId="0" applyNumberFormat="1" applyFont="1" applyFill="1" applyBorder="1"/>
    <xf numFmtId="41" fontId="0" fillId="2" borderId="0" xfId="1" applyNumberFormat="1" applyFont="1" applyFill="1" applyBorder="1"/>
    <xf numFmtId="169" fontId="68" fillId="2" borderId="9" xfId="0" applyNumberFormat="1" applyFont="1" applyFill="1" applyBorder="1" applyAlignment="1">
      <alignment horizontal="right" vertical="center" wrapText="1"/>
    </xf>
    <xf numFmtId="169" fontId="68" fillId="2" borderId="10" xfId="0" applyNumberFormat="1" applyFont="1" applyFill="1" applyBorder="1" applyAlignment="1">
      <alignment horizontal="right" vertical="center" wrapText="1"/>
    </xf>
    <xf numFmtId="170" fontId="69" fillId="2" borderId="9" xfId="3" applyNumberFormat="1" applyFont="1" applyFill="1" applyBorder="1" applyAlignment="1">
      <alignment vertical="center"/>
    </xf>
    <xf numFmtId="170" fontId="69" fillId="2" borderId="36" xfId="3" applyNumberFormat="1" applyFont="1" applyFill="1" applyBorder="1" applyAlignment="1">
      <alignment vertical="center"/>
    </xf>
    <xf numFmtId="170" fontId="69" fillId="2" borderId="38" xfId="3" applyNumberFormat="1" applyFont="1" applyFill="1" applyBorder="1" applyAlignment="1">
      <alignment vertical="center"/>
    </xf>
    <xf numFmtId="170" fontId="69" fillId="2" borderId="10" xfId="3" applyNumberFormat="1" applyFont="1" applyFill="1" applyBorder="1" applyAlignment="1">
      <alignment vertical="center"/>
    </xf>
    <xf numFmtId="0" fontId="14" fillId="2" borderId="10" xfId="0" applyFont="1" applyFill="1" applyBorder="1" applyAlignment="1"/>
    <xf numFmtId="0" fontId="14" fillId="2" borderId="11" xfId="0" applyFont="1" applyFill="1" applyBorder="1" applyAlignment="1"/>
    <xf numFmtId="0" fontId="14" fillId="2" borderId="12" xfId="0" applyFont="1" applyFill="1" applyBorder="1" applyAlignment="1"/>
    <xf numFmtId="170" fontId="14" fillId="2" borderId="14" xfId="0" applyNumberFormat="1" applyFont="1" applyFill="1" applyBorder="1"/>
    <xf numFmtId="170" fontId="14" fillId="2" borderId="13" xfId="0" applyNumberFormat="1" applyFont="1" applyFill="1" applyBorder="1"/>
    <xf numFmtId="170" fontId="14" fillId="2" borderId="15" xfId="0" applyNumberFormat="1" applyFont="1" applyFill="1" applyBorder="1"/>
    <xf numFmtId="174" fontId="14" fillId="2" borderId="9" xfId="0" applyNumberFormat="1" applyFont="1" applyFill="1" applyBorder="1"/>
    <xf numFmtId="176" fontId="70" fillId="2" borderId="9" xfId="0" applyNumberFormat="1" applyFont="1" applyFill="1" applyBorder="1" applyAlignment="1">
      <alignment horizontal="right"/>
    </xf>
    <xf numFmtId="0" fontId="14" fillId="2" borderId="0" xfId="0" applyFont="1" applyFill="1"/>
    <xf numFmtId="10" fontId="14" fillId="2" borderId="9" xfId="0" applyNumberFormat="1" applyFont="1" applyFill="1" applyBorder="1"/>
    <xf numFmtId="10" fontId="14" fillId="2" borderId="10" xfId="0" applyNumberFormat="1" applyFont="1" applyFill="1" applyBorder="1"/>
    <xf numFmtId="10" fontId="14" fillId="2" borderId="59" xfId="0" applyNumberFormat="1" applyFont="1" applyFill="1" applyBorder="1"/>
    <xf numFmtId="168" fontId="14" fillId="2" borderId="9" xfId="0" applyNumberFormat="1" applyFont="1" applyFill="1" applyBorder="1"/>
    <xf numFmtId="174" fontId="14" fillId="2" borderId="0" xfId="0" applyNumberFormat="1" applyFont="1" applyFill="1"/>
    <xf numFmtId="41" fontId="14" fillId="2" borderId="9" xfId="1" applyFont="1" applyFill="1" applyBorder="1"/>
    <xf numFmtId="175" fontId="14" fillId="2" borderId="9" xfId="3" applyNumberFormat="1" applyFont="1" applyFill="1" applyBorder="1"/>
    <xf numFmtId="0" fontId="0" fillId="10" borderId="44" xfId="0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left"/>
    </xf>
    <xf numFmtId="0" fontId="3" fillId="7" borderId="10" xfId="0" applyFont="1" applyFill="1" applyBorder="1" applyAlignment="1">
      <alignment horizontal="left"/>
    </xf>
    <xf numFmtId="0" fontId="3" fillId="7" borderId="11" xfId="0" applyFont="1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3" fillId="6" borderId="9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56" fillId="8" borderId="1" xfId="0" applyFont="1" applyFill="1" applyBorder="1" applyAlignment="1">
      <alignment horizontal="center" vertical="center"/>
    </xf>
    <xf numFmtId="0" fontId="56" fillId="8" borderId="2" xfId="0" applyFont="1" applyFill="1" applyBorder="1" applyAlignment="1">
      <alignment horizontal="center" vertical="center"/>
    </xf>
    <xf numFmtId="0" fontId="56" fillId="8" borderId="3" xfId="0" applyFont="1" applyFill="1" applyBorder="1" applyAlignment="1">
      <alignment horizontal="center" vertical="center"/>
    </xf>
    <xf numFmtId="0" fontId="56" fillId="8" borderId="4" xfId="0" applyFont="1" applyFill="1" applyBorder="1" applyAlignment="1">
      <alignment horizontal="center" vertical="center"/>
    </xf>
    <xf numFmtId="0" fontId="56" fillId="8" borderId="0" xfId="0" applyFont="1" applyFill="1" applyBorder="1" applyAlignment="1">
      <alignment horizontal="center" vertical="center"/>
    </xf>
    <xf numFmtId="0" fontId="56" fillId="8" borderId="5" xfId="0" applyFont="1" applyFill="1" applyBorder="1" applyAlignment="1">
      <alignment horizontal="center" vertical="center"/>
    </xf>
    <xf numFmtId="0" fontId="56" fillId="8" borderId="6" xfId="0" applyFont="1" applyFill="1" applyBorder="1" applyAlignment="1">
      <alignment horizontal="center" vertical="center"/>
    </xf>
    <xf numFmtId="0" fontId="56" fillId="8" borderId="7" xfId="0" applyFont="1" applyFill="1" applyBorder="1" applyAlignment="1">
      <alignment horizontal="center" vertical="center"/>
    </xf>
    <xf numFmtId="0" fontId="56" fillId="8" borderId="8" xfId="0" applyFont="1" applyFill="1" applyBorder="1" applyAlignment="1">
      <alignment horizontal="center" vertical="center"/>
    </xf>
    <xf numFmtId="0" fontId="57" fillId="8" borderId="1" xfId="0" applyFont="1" applyFill="1" applyBorder="1" applyAlignment="1">
      <alignment horizontal="center"/>
    </xf>
    <xf numFmtId="0" fontId="57" fillId="8" borderId="2" xfId="0" applyFont="1" applyFill="1" applyBorder="1" applyAlignment="1">
      <alignment horizontal="center"/>
    </xf>
    <xf numFmtId="0" fontId="57" fillId="8" borderId="3" xfId="0" applyFont="1" applyFill="1" applyBorder="1" applyAlignment="1">
      <alignment horizontal="center"/>
    </xf>
    <xf numFmtId="0" fontId="58" fillId="8" borderId="4" xfId="0" applyFont="1" applyFill="1" applyBorder="1" applyAlignment="1">
      <alignment horizontal="center" vertical="center"/>
    </xf>
    <xf numFmtId="0" fontId="58" fillId="8" borderId="0" xfId="0" applyFont="1" applyFill="1" applyBorder="1" applyAlignment="1">
      <alignment horizontal="center" vertical="center"/>
    </xf>
    <xf numFmtId="0" fontId="58" fillId="8" borderId="5" xfId="0" applyFont="1" applyFill="1" applyBorder="1" applyAlignment="1">
      <alignment horizontal="center" vertical="center"/>
    </xf>
    <xf numFmtId="0" fontId="58" fillId="8" borderId="6" xfId="0" applyFont="1" applyFill="1" applyBorder="1" applyAlignment="1">
      <alignment horizontal="center" vertical="center"/>
    </xf>
    <xf numFmtId="0" fontId="58" fillId="8" borderId="7" xfId="0" applyFont="1" applyFill="1" applyBorder="1" applyAlignment="1">
      <alignment horizontal="center" vertical="center"/>
    </xf>
    <xf numFmtId="0" fontId="58" fillId="8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2" fillId="7" borderId="10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7" fillId="8" borderId="10" xfId="0" applyFont="1" applyFill="1" applyBorder="1" applyAlignment="1">
      <alignment horizontal="left"/>
    </xf>
    <xf numFmtId="0" fontId="7" fillId="8" borderId="11" xfId="0" applyFont="1" applyFill="1" applyBorder="1" applyAlignment="1">
      <alignment horizontal="left"/>
    </xf>
    <xf numFmtId="0" fontId="7" fillId="8" borderId="12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51" fillId="2" borderId="27" xfId="0" applyFont="1" applyFill="1" applyBorder="1" applyAlignment="1">
      <alignment horizontal="center"/>
    </xf>
    <xf numFmtId="0" fontId="51" fillId="2" borderId="28" xfId="0" applyFont="1" applyFill="1" applyBorder="1" applyAlignment="1">
      <alignment horizontal="center"/>
    </xf>
    <xf numFmtId="0" fontId="51" fillId="2" borderId="29" xfId="0" applyFont="1" applyFill="1" applyBorder="1" applyAlignment="1">
      <alignment horizontal="center"/>
    </xf>
    <xf numFmtId="0" fontId="51" fillId="2" borderId="20" xfId="0" applyFont="1" applyFill="1" applyBorder="1" applyAlignment="1">
      <alignment horizontal="center"/>
    </xf>
    <xf numFmtId="0" fontId="51" fillId="2" borderId="21" xfId="0" applyFont="1" applyFill="1" applyBorder="1" applyAlignment="1">
      <alignment horizontal="center"/>
    </xf>
    <xf numFmtId="0" fontId="51" fillId="2" borderId="22" xfId="0" applyFont="1" applyFill="1" applyBorder="1" applyAlignment="1">
      <alignment horizontal="center"/>
    </xf>
    <xf numFmtId="0" fontId="51" fillId="32" borderId="20" xfId="0" applyFont="1" applyFill="1" applyBorder="1" applyAlignment="1">
      <alignment horizontal="center"/>
    </xf>
    <xf numFmtId="0" fontId="51" fillId="32" borderId="21" xfId="0" applyFont="1" applyFill="1" applyBorder="1" applyAlignment="1">
      <alignment horizontal="center"/>
    </xf>
    <xf numFmtId="0" fontId="51" fillId="32" borderId="22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left"/>
    </xf>
    <xf numFmtId="0" fontId="61" fillId="9" borderId="1" xfId="0" applyFont="1" applyFill="1" applyBorder="1" applyAlignment="1">
      <alignment horizontal="center" vertical="center"/>
    </xf>
    <xf numFmtId="0" fontId="61" fillId="9" borderId="2" xfId="0" applyFont="1" applyFill="1" applyBorder="1" applyAlignment="1">
      <alignment horizontal="center" vertical="center"/>
    </xf>
    <xf numFmtId="0" fontId="61" fillId="9" borderId="3" xfId="0" applyFont="1" applyFill="1" applyBorder="1" applyAlignment="1">
      <alignment horizontal="center" vertical="center"/>
    </xf>
    <xf numFmtId="0" fontId="61" fillId="9" borderId="6" xfId="0" applyFont="1" applyFill="1" applyBorder="1" applyAlignment="1">
      <alignment horizontal="center" vertical="center"/>
    </xf>
    <xf numFmtId="0" fontId="61" fillId="9" borderId="7" xfId="0" applyFont="1" applyFill="1" applyBorder="1" applyAlignment="1">
      <alignment horizontal="center" vertical="center"/>
    </xf>
    <xf numFmtId="0" fontId="61" fillId="9" borderId="8" xfId="0" applyFont="1" applyFill="1" applyBorder="1" applyAlignment="1">
      <alignment horizontal="center" vertical="center"/>
    </xf>
    <xf numFmtId="0" fontId="64" fillId="2" borderId="1" xfId="0" applyFont="1" applyFill="1" applyBorder="1" applyAlignment="1">
      <alignment horizontal="center"/>
    </xf>
    <xf numFmtId="0" fontId="64" fillId="2" borderId="2" xfId="0" applyFont="1" applyFill="1" applyBorder="1" applyAlignment="1">
      <alignment horizontal="center"/>
    </xf>
    <xf numFmtId="0" fontId="64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0" fillId="9" borderId="20" xfId="0" applyFont="1" applyFill="1" applyBorder="1" applyAlignment="1">
      <alignment horizontal="center"/>
    </xf>
    <xf numFmtId="0" fontId="60" fillId="9" borderId="21" xfId="0" applyFont="1" applyFill="1" applyBorder="1" applyAlignment="1">
      <alignment horizontal="center"/>
    </xf>
    <xf numFmtId="0" fontId="60" fillId="9" borderId="22" xfId="0" applyFont="1" applyFill="1" applyBorder="1" applyAlignment="1">
      <alignment horizontal="center"/>
    </xf>
    <xf numFmtId="0" fontId="0" fillId="2" borderId="32" xfId="0" applyFont="1" applyFill="1" applyBorder="1" applyAlignment="1">
      <alignment horizontal="left"/>
    </xf>
    <xf numFmtId="0" fontId="0" fillId="2" borderId="46" xfId="0" applyFont="1" applyFill="1" applyBorder="1" applyAlignment="1">
      <alignment horizontal="left"/>
    </xf>
    <xf numFmtId="0" fontId="59" fillId="9" borderId="20" xfId="0" applyFont="1" applyFill="1" applyBorder="1" applyAlignment="1">
      <alignment horizontal="center"/>
    </xf>
    <xf numFmtId="0" fontId="59" fillId="9" borderId="21" xfId="0" applyFont="1" applyFill="1" applyBorder="1" applyAlignment="1">
      <alignment horizontal="center"/>
    </xf>
    <xf numFmtId="0" fontId="59" fillId="9" borderId="22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0" fillId="9" borderId="3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left"/>
    </xf>
    <xf numFmtId="0" fontId="3" fillId="3" borderId="28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38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left"/>
    </xf>
    <xf numFmtId="0" fontId="63" fillId="8" borderId="1" xfId="0" applyFont="1" applyFill="1" applyBorder="1" applyAlignment="1">
      <alignment horizontal="center" vertical="center"/>
    </xf>
    <xf numFmtId="0" fontId="63" fillId="8" borderId="2" xfId="0" applyFont="1" applyFill="1" applyBorder="1" applyAlignment="1">
      <alignment horizontal="center" vertical="center"/>
    </xf>
    <xf numFmtId="0" fontId="63" fillId="8" borderId="3" xfId="0" applyFont="1" applyFill="1" applyBorder="1" applyAlignment="1">
      <alignment horizontal="center" vertical="center"/>
    </xf>
    <xf numFmtId="0" fontId="63" fillId="8" borderId="4" xfId="0" applyFont="1" applyFill="1" applyBorder="1" applyAlignment="1">
      <alignment horizontal="center" vertical="center"/>
    </xf>
    <xf numFmtId="0" fontId="63" fillId="8" borderId="0" xfId="0" applyFont="1" applyFill="1" applyBorder="1" applyAlignment="1">
      <alignment horizontal="center" vertical="center"/>
    </xf>
    <xf numFmtId="0" fontId="63" fillId="8" borderId="5" xfId="0" applyFont="1" applyFill="1" applyBorder="1" applyAlignment="1">
      <alignment horizontal="center" vertical="center"/>
    </xf>
    <xf numFmtId="0" fontId="3" fillId="11" borderId="33" xfId="0" applyFont="1" applyFill="1" applyBorder="1" applyAlignment="1">
      <alignment horizontal="center"/>
    </xf>
    <xf numFmtId="0" fontId="3" fillId="11" borderId="47" xfId="0" applyFont="1" applyFill="1" applyBorder="1" applyAlignment="1">
      <alignment horizontal="center"/>
    </xf>
    <xf numFmtId="10" fontId="3" fillId="12" borderId="34" xfId="2" applyNumberFormat="1" applyFont="1" applyFill="1" applyBorder="1" applyAlignment="1">
      <alignment horizontal="center"/>
    </xf>
    <xf numFmtId="10" fontId="3" fillId="12" borderId="33" xfId="2" applyNumberFormat="1" applyFont="1" applyFill="1" applyBorder="1" applyAlignment="1">
      <alignment horizontal="center"/>
    </xf>
    <xf numFmtId="10" fontId="3" fillId="12" borderId="63" xfId="2" applyNumberFormat="1" applyFont="1" applyFill="1" applyBorder="1" applyAlignment="1">
      <alignment horizontal="center"/>
    </xf>
    <xf numFmtId="10" fontId="3" fillId="12" borderId="47" xfId="2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3" fillId="2" borderId="31" xfId="0" applyFont="1" applyFill="1" applyBorder="1" applyAlignment="1">
      <alignment horizontal="left"/>
    </xf>
    <xf numFmtId="0" fontId="3" fillId="2" borderId="54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51" fillId="2" borderId="1" xfId="0" applyFont="1" applyFill="1" applyBorder="1" applyAlignment="1">
      <alignment horizontal="center"/>
    </xf>
    <xf numFmtId="0" fontId="51" fillId="2" borderId="2" xfId="0" applyFont="1" applyFill="1" applyBorder="1" applyAlignment="1">
      <alignment horizontal="center"/>
    </xf>
    <xf numFmtId="0" fontId="51" fillId="2" borderId="34" xfId="0" applyFont="1" applyFill="1" applyBorder="1" applyAlignment="1">
      <alignment horizontal="left"/>
    </xf>
    <xf numFmtId="0" fontId="51" fillId="2" borderId="33" xfId="0" applyFont="1" applyFill="1" applyBorder="1" applyAlignment="1">
      <alignment horizontal="left"/>
    </xf>
    <xf numFmtId="0" fontId="51" fillId="2" borderId="47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61" fillId="9" borderId="58" xfId="0" applyFont="1" applyFill="1" applyBorder="1" applyAlignment="1">
      <alignment horizontal="center" vertical="center"/>
    </xf>
    <xf numFmtId="0" fontId="61" fillId="9" borderId="37" xfId="0" applyFont="1" applyFill="1" applyBorder="1" applyAlignment="1">
      <alignment horizontal="center" vertical="center"/>
    </xf>
    <xf numFmtId="0" fontId="61" fillId="9" borderId="40" xfId="0" applyFont="1" applyFill="1" applyBorder="1" applyAlignment="1">
      <alignment horizontal="center" vertical="center"/>
    </xf>
    <xf numFmtId="0" fontId="61" fillId="9" borderId="15" xfId="0" applyFont="1" applyFill="1" applyBorder="1" applyAlignment="1">
      <alignment horizontal="center" vertical="center"/>
    </xf>
    <xf numFmtId="0" fontId="61" fillId="9" borderId="38" xfId="0" applyFont="1" applyFill="1" applyBorder="1" applyAlignment="1">
      <alignment horizontal="center" vertical="center"/>
    </xf>
    <xf numFmtId="0" fontId="61" fillId="9" borderId="36" xfId="0" applyFont="1" applyFill="1" applyBorder="1" applyAlignment="1">
      <alignment horizontal="center" vertical="center"/>
    </xf>
    <xf numFmtId="164" fontId="0" fillId="2" borderId="10" xfId="3" applyFont="1" applyFill="1" applyBorder="1" applyAlignment="1">
      <alignment horizontal="center"/>
    </xf>
    <xf numFmtId="164" fontId="0" fillId="2" borderId="11" xfId="3" applyFont="1" applyFill="1" applyBorder="1" applyAlignment="1">
      <alignment horizontal="center"/>
    </xf>
    <xf numFmtId="164" fontId="0" fillId="2" borderId="12" xfId="3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31" borderId="9" xfId="0" applyFont="1" applyFill="1" applyBorder="1" applyAlignment="1">
      <alignment horizontal="center"/>
    </xf>
    <xf numFmtId="166" fontId="3" fillId="2" borderId="9" xfId="9" applyNumberFormat="1" applyFont="1" applyFill="1" applyBorder="1" applyAlignment="1">
      <alignment horizontal="center"/>
    </xf>
    <xf numFmtId="0" fontId="3" fillId="31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9" borderId="31" xfId="0" applyFont="1" applyFill="1" applyBorder="1" applyAlignment="1">
      <alignment horizontal="left"/>
    </xf>
    <xf numFmtId="0" fontId="2" fillId="9" borderId="54" xfId="0" applyFont="1" applyFill="1" applyBorder="1" applyAlignment="1">
      <alignment horizontal="left"/>
    </xf>
    <xf numFmtId="0" fontId="2" fillId="9" borderId="45" xfId="0" applyFont="1" applyFill="1" applyBorder="1" applyAlignment="1">
      <alignment horizontal="left"/>
    </xf>
    <xf numFmtId="0" fontId="2" fillId="9" borderId="32" xfId="0" applyFont="1" applyFill="1" applyBorder="1" applyAlignment="1">
      <alignment horizontal="left"/>
    </xf>
    <xf numFmtId="0" fontId="2" fillId="9" borderId="9" xfId="0" applyFont="1" applyFill="1" applyBorder="1" applyAlignment="1">
      <alignment horizontal="left"/>
    </xf>
    <xf numFmtId="0" fontId="2" fillId="9" borderId="46" xfId="0" applyFont="1" applyFill="1" applyBorder="1" applyAlignment="1">
      <alignment horizontal="left"/>
    </xf>
    <xf numFmtId="0" fontId="2" fillId="9" borderId="34" xfId="0" applyFont="1" applyFill="1" applyBorder="1" applyAlignment="1">
      <alignment horizontal="left"/>
    </xf>
    <xf numFmtId="0" fontId="2" fillId="9" borderId="33" xfId="0" applyFont="1" applyFill="1" applyBorder="1" applyAlignment="1">
      <alignment horizontal="left"/>
    </xf>
    <xf numFmtId="0" fontId="2" fillId="9" borderId="47" xfId="0" applyFont="1" applyFill="1" applyBorder="1" applyAlignment="1">
      <alignment horizontal="left"/>
    </xf>
    <xf numFmtId="0" fontId="32" fillId="5" borderId="39" xfId="0" quotePrefix="1" applyFont="1" applyFill="1" applyBorder="1" applyAlignment="1">
      <alignment horizontal="right" vertical="center"/>
    </xf>
    <xf numFmtId="0" fontId="32" fillId="5" borderId="11" xfId="0" quotePrefix="1" applyFont="1" applyFill="1" applyBorder="1" applyAlignment="1">
      <alignment horizontal="right" vertical="center"/>
    </xf>
    <xf numFmtId="0" fontId="32" fillId="5" borderId="12" xfId="0" quotePrefix="1" applyFont="1" applyFill="1" applyBorder="1" applyAlignment="1">
      <alignment horizontal="right" vertical="center"/>
    </xf>
    <xf numFmtId="0" fontId="48" fillId="23" borderId="23" xfId="0" applyFont="1" applyFill="1" applyBorder="1" applyAlignment="1">
      <alignment horizontal="center" vertical="center" textRotation="180"/>
    </xf>
    <xf numFmtId="0" fontId="48" fillId="23" borderId="25" xfId="0" applyFont="1" applyFill="1" applyBorder="1" applyAlignment="1">
      <alignment horizontal="center" vertical="center" textRotation="180"/>
    </xf>
    <xf numFmtId="0" fontId="48" fillId="23" borderId="24" xfId="0" applyFont="1" applyFill="1" applyBorder="1" applyAlignment="1">
      <alignment horizontal="center" vertical="center" textRotation="180"/>
    </xf>
    <xf numFmtId="0" fontId="46" fillId="16" borderId="31" xfId="0" applyFont="1" applyFill="1" applyBorder="1" applyAlignment="1">
      <alignment horizontal="center" vertical="center" wrapText="1"/>
    </xf>
    <xf numFmtId="0" fontId="46" fillId="16" borderId="45" xfId="0" applyFont="1" applyFill="1" applyBorder="1" applyAlignment="1">
      <alignment horizontal="center" vertical="center" wrapText="1"/>
    </xf>
    <xf numFmtId="0" fontId="46" fillId="16" borderId="32" xfId="0" applyFont="1" applyFill="1" applyBorder="1" applyAlignment="1">
      <alignment horizontal="center" vertical="center" wrapText="1"/>
    </xf>
    <xf numFmtId="0" fontId="46" fillId="16" borderId="46" xfId="0" applyFont="1" applyFill="1" applyBorder="1" applyAlignment="1">
      <alignment horizontal="center" vertical="center" wrapText="1"/>
    </xf>
    <xf numFmtId="0" fontId="46" fillId="16" borderId="34" xfId="0" applyFont="1" applyFill="1" applyBorder="1" applyAlignment="1">
      <alignment horizontal="center" vertical="center" wrapText="1"/>
    </xf>
    <xf numFmtId="0" fontId="46" fillId="16" borderId="4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32" fillId="18" borderId="9" xfId="5" quotePrefix="1" applyFont="1" applyFill="1" applyBorder="1" applyAlignment="1">
      <alignment horizontal="left" vertical="center"/>
    </xf>
    <xf numFmtId="0" fontId="32" fillId="18" borderId="9" xfId="5" applyFont="1" applyFill="1" applyBorder="1" applyAlignment="1">
      <alignment horizontal="left" vertical="center"/>
    </xf>
    <xf numFmtId="0" fontId="46" fillId="22" borderId="1" xfId="0" applyFont="1" applyFill="1" applyBorder="1" applyAlignment="1">
      <alignment horizontal="center" vertical="center" wrapText="1"/>
    </xf>
    <xf numFmtId="0" fontId="46" fillId="22" borderId="3" xfId="0" applyFont="1" applyFill="1" applyBorder="1" applyAlignment="1">
      <alignment horizontal="center" vertical="center" wrapText="1"/>
    </xf>
    <xf numFmtId="0" fontId="46" fillId="22" borderId="4" xfId="0" applyFont="1" applyFill="1" applyBorder="1" applyAlignment="1">
      <alignment horizontal="center" vertical="center" wrapText="1"/>
    </xf>
    <xf numFmtId="0" fontId="46" fillId="22" borderId="5" xfId="0" applyFont="1" applyFill="1" applyBorder="1" applyAlignment="1">
      <alignment horizontal="center" vertical="center" wrapText="1"/>
    </xf>
    <xf numFmtId="0" fontId="46" fillId="22" borderId="6" xfId="0" applyFont="1" applyFill="1" applyBorder="1" applyAlignment="1">
      <alignment horizontal="center" vertical="center" wrapText="1"/>
    </xf>
    <xf numFmtId="0" fontId="46" fillId="22" borderId="8" xfId="0" applyFont="1" applyFill="1" applyBorder="1" applyAlignment="1">
      <alignment horizontal="center" vertical="center" wrapText="1"/>
    </xf>
    <xf numFmtId="0" fontId="3" fillId="15" borderId="9" xfId="0" applyFont="1" applyFill="1" applyBorder="1" applyAlignment="1">
      <alignment horizontal="left"/>
    </xf>
    <xf numFmtId="0" fontId="3" fillId="15" borderId="59" xfId="0" applyFont="1" applyFill="1" applyBorder="1" applyAlignment="1">
      <alignment horizontal="left"/>
    </xf>
    <xf numFmtId="0" fontId="3" fillId="9" borderId="10" xfId="0" applyFont="1" applyFill="1" applyBorder="1" applyAlignment="1">
      <alignment horizontal="left"/>
    </xf>
    <xf numFmtId="0" fontId="3" fillId="9" borderId="11" xfId="0" applyFont="1" applyFill="1" applyBorder="1" applyAlignment="1">
      <alignment horizontal="left"/>
    </xf>
    <xf numFmtId="0" fontId="3" fillId="9" borderId="12" xfId="0" applyFont="1" applyFill="1" applyBorder="1" applyAlignment="1">
      <alignment horizontal="left"/>
    </xf>
    <xf numFmtId="0" fontId="30" fillId="16" borderId="9" xfId="0" quotePrefix="1" applyFont="1" applyFill="1" applyBorder="1" applyAlignment="1">
      <alignment horizontal="left" vertical="center"/>
    </xf>
    <xf numFmtId="0" fontId="31" fillId="16" borderId="13" xfId="0" quotePrefix="1" applyFont="1" applyFill="1" applyBorder="1" applyAlignment="1">
      <alignment horizontal="left" vertical="center"/>
    </xf>
    <xf numFmtId="0" fontId="31" fillId="16" borderId="10" xfId="0" quotePrefix="1" applyFont="1" applyFill="1" applyBorder="1" applyAlignment="1">
      <alignment horizontal="left" vertical="center"/>
    </xf>
    <xf numFmtId="0" fontId="31" fillId="16" borderId="11" xfId="0" quotePrefix="1" applyFont="1" applyFill="1" applyBorder="1" applyAlignment="1">
      <alignment horizontal="left" vertical="center"/>
    </xf>
    <xf numFmtId="0" fontId="31" fillId="16" borderId="12" xfId="0" quotePrefix="1" applyFont="1" applyFill="1" applyBorder="1" applyAlignment="1">
      <alignment horizontal="left" vertical="center"/>
    </xf>
    <xf numFmtId="0" fontId="38" fillId="9" borderId="20" xfId="0" quotePrefix="1" applyFont="1" applyFill="1" applyBorder="1" applyAlignment="1">
      <alignment horizontal="center" vertical="center"/>
    </xf>
    <xf numFmtId="0" fontId="38" fillId="9" borderId="21" xfId="0" quotePrefix="1" applyFont="1" applyFill="1" applyBorder="1" applyAlignment="1">
      <alignment horizontal="center" vertical="center"/>
    </xf>
    <xf numFmtId="0" fontId="38" fillId="9" borderId="22" xfId="0" quotePrefix="1" applyFont="1" applyFill="1" applyBorder="1" applyAlignment="1">
      <alignment horizontal="center" vertical="center"/>
    </xf>
    <xf numFmtId="0" fontId="44" fillId="9" borderId="9" xfId="0" applyFont="1" applyFill="1" applyBorder="1" applyAlignment="1">
      <alignment horizontal="left"/>
    </xf>
    <xf numFmtId="0" fontId="3" fillId="15" borderId="13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center"/>
    </xf>
    <xf numFmtId="0" fontId="36" fillId="9" borderId="1" xfId="0" applyFont="1" applyFill="1" applyBorder="1" applyAlignment="1">
      <alignment horizontal="center"/>
    </xf>
    <xf numFmtId="0" fontId="36" fillId="9" borderId="2" xfId="0" applyFont="1" applyFill="1" applyBorder="1" applyAlignment="1">
      <alignment horizontal="center"/>
    </xf>
    <xf numFmtId="0" fontId="36" fillId="9" borderId="3" xfId="0" applyFont="1" applyFill="1" applyBorder="1" applyAlignment="1">
      <alignment horizontal="center"/>
    </xf>
    <xf numFmtId="0" fontId="15" fillId="2" borderId="9" xfId="0" quotePrefix="1" applyFont="1" applyFill="1" applyBorder="1" applyAlignment="1">
      <alignment horizontal="left"/>
    </xf>
    <xf numFmtId="0" fontId="15" fillId="13" borderId="9" xfId="0" quotePrefix="1" applyFont="1" applyFill="1" applyBorder="1" applyAlignment="1">
      <alignment horizontal="left" vertical="center"/>
    </xf>
    <xf numFmtId="0" fontId="15" fillId="13" borderId="9" xfId="0" applyFont="1" applyFill="1" applyBorder="1" applyAlignment="1">
      <alignment horizontal="left"/>
    </xf>
    <xf numFmtId="0" fontId="15" fillId="13" borderId="9" xfId="0" quotePrefix="1" applyFont="1" applyFill="1" applyBorder="1" applyAlignment="1">
      <alignment horizontal="left"/>
    </xf>
    <xf numFmtId="0" fontId="3" fillId="17" borderId="9" xfId="0" applyFont="1" applyFill="1" applyBorder="1" applyAlignment="1">
      <alignment horizontal="center" vertical="center"/>
    </xf>
    <xf numFmtId="0" fontId="3" fillId="19" borderId="9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14" fillId="19" borderId="10" xfId="0" quotePrefix="1" applyFont="1" applyFill="1" applyBorder="1" applyAlignment="1">
      <alignment horizontal="center"/>
    </xf>
    <xf numFmtId="0" fontId="14" fillId="19" borderId="11" xfId="0" quotePrefix="1" applyFont="1" applyFill="1" applyBorder="1" applyAlignment="1">
      <alignment horizontal="center"/>
    </xf>
    <xf numFmtId="0" fontId="14" fillId="19" borderId="12" xfId="0" quotePrefix="1" applyFont="1" applyFill="1" applyBorder="1" applyAlignment="1">
      <alignment horizontal="center"/>
    </xf>
    <xf numFmtId="0" fontId="15" fillId="19" borderId="9" xfId="0" applyFont="1" applyFill="1" applyBorder="1" applyAlignment="1">
      <alignment horizontal="left"/>
    </xf>
    <xf numFmtId="0" fontId="15" fillId="17" borderId="9" xfId="0" quotePrefix="1" applyFont="1" applyFill="1" applyBorder="1" applyAlignment="1">
      <alignment horizontal="left"/>
    </xf>
    <xf numFmtId="0" fontId="36" fillId="9" borderId="15" xfId="0" applyFont="1" applyFill="1" applyBorder="1" applyAlignment="1">
      <alignment horizontal="left" vertical="center"/>
    </xf>
    <xf numFmtId="0" fontId="36" fillId="9" borderId="38" xfId="0" applyFont="1" applyFill="1" applyBorder="1" applyAlignment="1">
      <alignment horizontal="left" vertical="center"/>
    </xf>
    <xf numFmtId="0" fontId="36" fillId="9" borderId="36" xfId="0" applyFont="1" applyFill="1" applyBorder="1" applyAlignment="1">
      <alignment horizontal="left" vertical="center"/>
    </xf>
    <xf numFmtId="0" fontId="15" fillId="17" borderId="9" xfId="0" applyFont="1" applyFill="1" applyBorder="1" applyAlignment="1">
      <alignment horizontal="left"/>
    </xf>
    <xf numFmtId="0" fontId="16" fillId="2" borderId="4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34" fillId="18" borderId="15" xfId="0" quotePrefix="1" applyFont="1" applyFill="1" applyBorder="1" applyAlignment="1">
      <alignment horizontal="left" vertical="center"/>
    </xf>
    <xf numFmtId="0" fontId="34" fillId="18" borderId="38" xfId="0" quotePrefix="1" applyFont="1" applyFill="1" applyBorder="1" applyAlignment="1">
      <alignment horizontal="left" vertical="center"/>
    </xf>
    <xf numFmtId="0" fontId="34" fillId="18" borderId="36" xfId="0" quotePrefix="1" applyFont="1" applyFill="1" applyBorder="1" applyAlignment="1">
      <alignment horizontal="left" vertical="center"/>
    </xf>
    <xf numFmtId="0" fontId="32" fillId="18" borderId="39" xfId="0" quotePrefix="1" applyFont="1" applyFill="1" applyBorder="1" applyAlignment="1">
      <alignment horizontal="left" vertical="center"/>
    </xf>
    <xf numFmtId="0" fontId="32" fillId="18" borderId="11" xfId="0" quotePrefix="1" applyFont="1" applyFill="1" applyBorder="1" applyAlignment="1">
      <alignment horizontal="left" vertical="center"/>
    </xf>
    <xf numFmtId="0" fontId="32" fillId="18" borderId="12" xfId="0" quotePrefix="1" applyFont="1" applyFill="1" applyBorder="1" applyAlignment="1">
      <alignment horizontal="left" vertical="center"/>
    </xf>
    <xf numFmtId="0" fontId="0" fillId="19" borderId="9" xfId="0" applyFill="1" applyBorder="1" applyAlignment="1">
      <alignment horizontal="left"/>
    </xf>
    <xf numFmtId="0" fontId="15" fillId="19" borderId="9" xfId="0" quotePrefix="1" applyFont="1" applyFill="1" applyBorder="1" applyAlignment="1">
      <alignment horizontal="left"/>
    </xf>
    <xf numFmtId="0" fontId="0" fillId="19" borderId="10" xfId="0" applyFill="1" applyBorder="1" applyAlignment="1">
      <alignment horizontal="left"/>
    </xf>
    <xf numFmtId="0" fontId="0" fillId="19" borderId="11" xfId="0" applyFill="1" applyBorder="1" applyAlignment="1">
      <alignment horizontal="left"/>
    </xf>
    <xf numFmtId="0" fontId="0" fillId="19" borderId="12" xfId="0" applyFill="1" applyBorder="1" applyAlignment="1">
      <alignment horizontal="left"/>
    </xf>
    <xf numFmtId="0" fontId="34" fillId="18" borderId="42" xfId="0" quotePrefix="1" applyFont="1" applyFill="1" applyBorder="1" applyAlignment="1">
      <alignment horizontal="left" vertical="center"/>
    </xf>
    <xf numFmtId="0" fontId="35" fillId="18" borderId="44" xfId="0" quotePrefix="1" applyFont="1" applyFill="1" applyBorder="1" applyAlignment="1">
      <alignment horizontal="left" vertical="center"/>
    </xf>
    <xf numFmtId="0" fontId="35" fillId="18" borderId="37" xfId="0" quotePrefix="1" applyFont="1" applyFill="1" applyBorder="1" applyAlignment="1">
      <alignment horizontal="left" vertical="center"/>
    </xf>
    <xf numFmtId="0" fontId="35" fillId="18" borderId="40" xfId="0" quotePrefix="1" applyFont="1" applyFill="1" applyBorder="1" applyAlignment="1">
      <alignment horizontal="left" vertical="center"/>
    </xf>
    <xf numFmtId="0" fontId="35" fillId="18" borderId="4" xfId="0" quotePrefix="1" applyFont="1" applyFill="1" applyBorder="1" applyAlignment="1">
      <alignment horizontal="left" vertical="center"/>
    </xf>
    <xf numFmtId="0" fontId="35" fillId="18" borderId="0" xfId="0" quotePrefix="1" applyFont="1" applyFill="1" applyBorder="1" applyAlignment="1">
      <alignment horizontal="left" vertical="center"/>
    </xf>
    <xf numFmtId="0" fontId="35" fillId="18" borderId="35" xfId="0" quotePrefix="1" applyFont="1" applyFill="1" applyBorder="1" applyAlignment="1">
      <alignment horizontal="left" vertical="center"/>
    </xf>
    <xf numFmtId="0" fontId="34" fillId="18" borderId="42" xfId="0" quotePrefix="1" applyFont="1" applyFill="1" applyBorder="1" applyAlignment="1">
      <alignment horizontal="left" vertical="center" wrapText="1"/>
    </xf>
    <xf numFmtId="0" fontId="34" fillId="18" borderId="38" xfId="0" quotePrefix="1" applyFont="1" applyFill="1" applyBorder="1" applyAlignment="1">
      <alignment horizontal="left" vertical="center" wrapText="1"/>
    </xf>
    <xf numFmtId="0" fontId="34" fillId="18" borderId="36" xfId="0" quotePrefix="1" applyFont="1" applyFill="1" applyBorder="1" applyAlignment="1">
      <alignment horizontal="left" vertical="center" wrapText="1"/>
    </xf>
    <xf numFmtId="0" fontId="35" fillId="18" borderId="58" xfId="0" quotePrefix="1" applyFont="1" applyFill="1" applyBorder="1" applyAlignment="1">
      <alignment horizontal="left" vertical="center"/>
    </xf>
    <xf numFmtId="0" fontId="35" fillId="18" borderId="18" xfId="0" quotePrefix="1" applyFont="1" applyFill="1" applyBorder="1" applyAlignment="1">
      <alignment horizontal="left" vertical="center"/>
    </xf>
    <xf numFmtId="0" fontId="3" fillId="19" borderId="10" xfId="0" applyFont="1" applyFill="1" applyBorder="1" applyAlignment="1">
      <alignment horizontal="left"/>
    </xf>
    <xf numFmtId="0" fontId="3" fillId="19" borderId="11" xfId="0" applyFont="1" applyFill="1" applyBorder="1" applyAlignment="1">
      <alignment horizontal="left"/>
    </xf>
    <xf numFmtId="0" fontId="3" fillId="19" borderId="12" xfId="0" applyFont="1" applyFill="1" applyBorder="1" applyAlignment="1">
      <alignment horizontal="left"/>
    </xf>
    <xf numFmtId="0" fontId="3" fillId="19" borderId="9" xfId="0" applyFont="1" applyFill="1" applyBorder="1" applyAlignment="1">
      <alignment horizontal="left"/>
    </xf>
    <xf numFmtId="0" fontId="34" fillId="9" borderId="39" xfId="0" applyFont="1" applyFill="1" applyBorder="1" applyAlignment="1">
      <alignment horizontal="center" vertical="center"/>
    </xf>
    <xf numFmtId="0" fontId="34" fillId="9" borderId="11" xfId="0" applyFont="1" applyFill="1" applyBorder="1" applyAlignment="1">
      <alignment horizontal="center" vertical="center"/>
    </xf>
    <xf numFmtId="0" fontId="34" fillId="9" borderId="12" xfId="0" applyFont="1" applyFill="1" applyBorder="1" applyAlignment="1">
      <alignment horizontal="center" vertical="center"/>
    </xf>
    <xf numFmtId="0" fontId="35" fillId="18" borderId="44" xfId="0" quotePrefix="1" applyFont="1" applyFill="1" applyBorder="1" applyAlignment="1">
      <alignment horizontal="left" vertical="center" wrapText="1"/>
    </xf>
    <xf numFmtId="0" fontId="35" fillId="18" borderId="37" xfId="0" quotePrefix="1" applyFont="1" applyFill="1" applyBorder="1" applyAlignment="1">
      <alignment horizontal="left" vertical="center" wrapText="1"/>
    </xf>
    <xf numFmtId="0" fontId="35" fillId="18" borderId="40" xfId="0" quotePrefix="1" applyFont="1" applyFill="1" applyBorder="1" applyAlignment="1">
      <alignment horizontal="left" vertical="center" wrapText="1"/>
    </xf>
    <xf numFmtId="0" fontId="37" fillId="9" borderId="9" xfId="0" applyFont="1" applyFill="1" applyBorder="1" applyAlignment="1">
      <alignment horizontal="center"/>
    </xf>
    <xf numFmtId="0" fontId="3" fillId="15" borderId="58" xfId="0" applyFont="1" applyFill="1" applyBorder="1" applyAlignment="1">
      <alignment horizontal="left"/>
    </xf>
    <xf numFmtId="0" fontId="30" fillId="22" borderId="9" xfId="0" quotePrefix="1" applyFont="1" applyFill="1" applyBorder="1" applyAlignment="1">
      <alignment horizontal="left" vertical="center"/>
    </xf>
    <xf numFmtId="0" fontId="31" fillId="22" borderId="15" xfId="0" quotePrefix="1" applyFont="1" applyFill="1" applyBorder="1" applyAlignment="1">
      <alignment horizontal="left" vertical="center"/>
    </xf>
    <xf numFmtId="0" fontId="31" fillId="22" borderId="38" xfId="0" quotePrefix="1" applyFont="1" applyFill="1" applyBorder="1" applyAlignment="1">
      <alignment horizontal="left" vertical="center"/>
    </xf>
    <xf numFmtId="0" fontId="31" fillId="22" borderId="36" xfId="0" quotePrefix="1" applyFont="1" applyFill="1" applyBorder="1" applyAlignment="1">
      <alignment horizontal="left" vertical="center"/>
    </xf>
    <xf numFmtId="0" fontId="31" fillId="22" borderId="10" xfId="0" quotePrefix="1" applyFont="1" applyFill="1" applyBorder="1" applyAlignment="1">
      <alignment horizontal="left" vertical="center"/>
    </xf>
    <xf numFmtId="0" fontId="31" fillId="22" borderId="11" xfId="0" quotePrefix="1" applyFont="1" applyFill="1" applyBorder="1" applyAlignment="1">
      <alignment horizontal="left" vertical="center"/>
    </xf>
    <xf numFmtId="0" fontId="31" fillId="22" borderId="12" xfId="0" quotePrefix="1" applyFont="1" applyFill="1" applyBorder="1" applyAlignment="1">
      <alignment horizontal="left" vertical="center"/>
    </xf>
    <xf numFmtId="0" fontId="0" fillId="15" borderId="9" xfId="0" applyFont="1" applyFill="1" applyBorder="1" applyAlignment="1">
      <alignment horizontal="left"/>
    </xf>
    <xf numFmtId="0" fontId="45" fillId="9" borderId="9" xfId="0" applyFont="1" applyFill="1" applyBorder="1" applyAlignment="1">
      <alignment horizontal="left"/>
    </xf>
    <xf numFmtId="0" fontId="61" fillId="9" borderId="27" xfId="0" applyFont="1" applyFill="1" applyBorder="1" applyAlignment="1">
      <alignment horizontal="center" vertical="center"/>
    </xf>
    <xf numFmtId="0" fontId="61" fillId="9" borderId="28" xfId="0" applyFont="1" applyFill="1" applyBorder="1" applyAlignment="1">
      <alignment horizontal="center" vertical="center"/>
    </xf>
    <xf numFmtId="0" fontId="49" fillId="15" borderId="23" xfId="0" applyFont="1" applyFill="1" applyBorder="1" applyAlignment="1">
      <alignment horizontal="center" vertical="center" textRotation="180"/>
    </xf>
    <xf numFmtId="0" fontId="49" fillId="15" borderId="25" xfId="0" applyFont="1" applyFill="1" applyBorder="1" applyAlignment="1">
      <alignment horizontal="center" vertical="center" textRotation="180"/>
    </xf>
    <xf numFmtId="0" fontId="49" fillId="15" borderId="5" xfId="0" applyFont="1" applyFill="1" applyBorder="1" applyAlignment="1">
      <alignment horizontal="center" vertical="center" textRotation="180"/>
    </xf>
    <xf numFmtId="0" fontId="49" fillId="15" borderId="24" xfId="0" applyFont="1" applyFill="1" applyBorder="1" applyAlignment="1">
      <alignment horizontal="center" vertical="center" textRotation="180"/>
    </xf>
    <xf numFmtId="41" fontId="51" fillId="20" borderId="1" xfId="1" applyFont="1" applyFill="1" applyBorder="1" applyAlignment="1">
      <alignment horizontal="center" vertical="center"/>
    </xf>
    <xf numFmtId="41" fontId="51" fillId="20" borderId="3" xfId="1" applyFont="1" applyFill="1" applyBorder="1" applyAlignment="1">
      <alignment horizontal="center" vertical="center"/>
    </xf>
    <xf numFmtId="41" fontId="51" fillId="20" borderId="6" xfId="1" applyFont="1" applyFill="1" applyBorder="1" applyAlignment="1">
      <alignment horizontal="center" vertical="center"/>
    </xf>
    <xf numFmtId="41" fontId="51" fillId="20" borderId="8" xfId="1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left"/>
    </xf>
    <xf numFmtId="0" fontId="45" fillId="9" borderId="13" xfId="0" applyFont="1" applyFill="1" applyBorder="1" applyAlignment="1">
      <alignment horizontal="left"/>
    </xf>
    <xf numFmtId="0" fontId="48" fillId="17" borderId="23" xfId="0" applyFont="1" applyFill="1" applyBorder="1" applyAlignment="1">
      <alignment horizontal="center" vertical="center" textRotation="180"/>
    </xf>
    <xf numFmtId="0" fontId="48" fillId="17" borderId="25" xfId="0" applyFont="1" applyFill="1" applyBorder="1" applyAlignment="1">
      <alignment horizontal="center" vertical="center" textRotation="180"/>
    </xf>
    <xf numFmtId="0" fontId="48" fillId="17" borderId="5" xfId="0" applyFont="1" applyFill="1" applyBorder="1" applyAlignment="1">
      <alignment horizontal="center" vertical="center" textRotation="180"/>
    </xf>
    <xf numFmtId="0" fontId="48" fillId="17" borderId="24" xfId="0" applyFont="1" applyFill="1" applyBorder="1" applyAlignment="1">
      <alignment horizontal="center" vertical="center" textRotation="180"/>
    </xf>
    <xf numFmtId="0" fontId="32" fillId="29" borderId="39" xfId="0" applyFont="1" applyFill="1" applyBorder="1" applyAlignment="1">
      <alignment horizontal="center" vertical="center"/>
    </xf>
    <xf numFmtId="0" fontId="32" fillId="29" borderId="11" xfId="0" applyFont="1" applyFill="1" applyBorder="1" applyAlignment="1">
      <alignment horizontal="center" vertical="center"/>
    </xf>
    <xf numFmtId="0" fontId="32" fillId="29" borderId="12" xfId="0" applyFont="1" applyFill="1" applyBorder="1" applyAlignment="1">
      <alignment horizontal="center" vertical="center"/>
    </xf>
    <xf numFmtId="0" fontId="48" fillId="20" borderId="20" xfId="0" applyFont="1" applyFill="1" applyBorder="1" applyAlignment="1">
      <alignment horizontal="center"/>
    </xf>
    <xf numFmtId="0" fontId="48" fillId="20" borderId="21" xfId="0" applyFont="1" applyFill="1" applyBorder="1" applyAlignment="1">
      <alignment horizontal="center"/>
    </xf>
    <xf numFmtId="0" fontId="48" fillId="20" borderId="22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32" fillId="29" borderId="42" xfId="0" applyFont="1" applyFill="1" applyBorder="1" applyAlignment="1">
      <alignment horizontal="center" vertical="center"/>
    </xf>
    <xf numFmtId="0" fontId="32" fillId="29" borderId="38" xfId="0" applyFont="1" applyFill="1" applyBorder="1" applyAlignment="1">
      <alignment horizontal="center" vertical="center"/>
    </xf>
    <xf numFmtId="0" fontId="32" fillId="29" borderId="36" xfId="0" applyFont="1" applyFill="1" applyBorder="1" applyAlignment="1">
      <alignment horizontal="center" vertical="center"/>
    </xf>
    <xf numFmtId="0" fontId="35" fillId="16" borderId="9" xfId="0" quotePrefix="1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/>
    </xf>
    <xf numFmtId="0" fontId="10" fillId="6" borderId="21" xfId="0" applyFont="1" applyFill="1" applyBorder="1" applyAlignment="1">
      <alignment horizontal="center"/>
    </xf>
    <xf numFmtId="0" fontId="10" fillId="6" borderId="22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left"/>
    </xf>
    <xf numFmtId="0" fontId="3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0" fillId="2" borderId="61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2" xfId="0" applyFill="1" applyBorder="1" applyAlignment="1">
      <alignment horizontal="left"/>
    </xf>
    <xf numFmtId="0" fontId="0" fillId="2" borderId="32" xfId="0" applyFill="1" applyBorder="1" applyAlignment="1">
      <alignment horizontal="left"/>
    </xf>
    <xf numFmtId="0" fontId="0" fillId="2" borderId="46" xfId="0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3" fillId="2" borderId="33" xfId="0" applyFont="1" applyFill="1" applyBorder="1" applyAlignment="1">
      <alignment horizontal="left"/>
    </xf>
    <xf numFmtId="0" fontId="3" fillId="2" borderId="47" xfId="0" applyFon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2" fillId="6" borderId="9" xfId="0" applyFont="1" applyFill="1" applyBorder="1" applyAlignment="1">
      <alignment horizontal="center"/>
    </xf>
    <xf numFmtId="0" fontId="36" fillId="6" borderId="20" xfId="0" applyFont="1" applyFill="1" applyBorder="1" applyAlignment="1">
      <alignment horizontal="center"/>
    </xf>
    <xf numFmtId="0" fontId="36" fillId="6" borderId="21" xfId="0" applyFont="1" applyFill="1" applyBorder="1" applyAlignment="1">
      <alignment horizontal="center"/>
    </xf>
    <xf numFmtId="0" fontId="36" fillId="6" borderId="22" xfId="0" applyFont="1" applyFill="1" applyBorder="1" applyAlignment="1">
      <alignment horizontal="center"/>
    </xf>
    <xf numFmtId="10" fontId="2" fillId="9" borderId="58" xfId="2" applyNumberFormat="1" applyFont="1" applyFill="1" applyBorder="1" applyAlignment="1">
      <alignment horizontal="center"/>
    </xf>
    <xf numFmtId="10" fontId="2" fillId="9" borderId="37" xfId="2" applyNumberFormat="1" applyFont="1" applyFill="1" applyBorder="1" applyAlignment="1">
      <alignment horizontal="center"/>
    </xf>
    <xf numFmtId="10" fontId="2" fillId="9" borderId="49" xfId="2" applyNumberFormat="1" applyFont="1" applyFill="1" applyBorder="1" applyAlignment="1">
      <alignment horizontal="center"/>
    </xf>
    <xf numFmtId="10" fontId="3" fillId="2" borderId="4" xfId="2" applyNumberFormat="1" applyFont="1" applyFill="1" applyBorder="1" applyAlignment="1">
      <alignment horizontal="center" vertical="center"/>
    </xf>
    <xf numFmtId="10" fontId="3" fillId="2" borderId="0" xfId="2" applyNumberFormat="1" applyFont="1" applyFill="1" applyBorder="1" applyAlignment="1">
      <alignment horizontal="center" vertical="center"/>
    </xf>
    <xf numFmtId="10" fontId="3" fillId="2" borderId="5" xfId="2" applyNumberFormat="1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12" fillId="2" borderId="27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/>
    </xf>
    <xf numFmtId="41" fontId="51" fillId="20" borderId="2" xfId="1" applyFont="1" applyFill="1" applyBorder="1" applyAlignment="1">
      <alignment horizontal="center" vertical="center"/>
    </xf>
    <xf numFmtId="41" fontId="51" fillId="20" borderId="7" xfId="1" applyFont="1" applyFill="1" applyBorder="1" applyAlignment="1">
      <alignment horizontal="center" vertical="center"/>
    </xf>
    <xf numFmtId="0" fontId="36" fillId="6" borderId="1" xfId="0" applyFont="1" applyFill="1" applyBorder="1" applyAlignment="1">
      <alignment horizontal="center"/>
    </xf>
    <xf numFmtId="0" fontId="36" fillId="6" borderId="2" xfId="0" applyFont="1" applyFill="1" applyBorder="1" applyAlignment="1">
      <alignment horizontal="center"/>
    </xf>
    <xf numFmtId="0" fontId="36" fillId="6" borderId="3" xfId="0" applyFont="1" applyFill="1" applyBorder="1" applyAlignment="1">
      <alignment horizontal="center"/>
    </xf>
    <xf numFmtId="0" fontId="36" fillId="6" borderId="15" xfId="0" applyFont="1" applyFill="1" applyBorder="1" applyAlignment="1">
      <alignment horizontal="left" vertical="center"/>
    </xf>
    <xf numFmtId="0" fontId="36" fillId="6" borderId="38" xfId="0" applyFont="1" applyFill="1" applyBorder="1" applyAlignment="1">
      <alignment horizontal="left" vertical="center"/>
    </xf>
    <xf numFmtId="0" fontId="36" fillId="6" borderId="36" xfId="0" applyFont="1" applyFill="1" applyBorder="1" applyAlignment="1">
      <alignment horizontal="left" vertical="center"/>
    </xf>
    <xf numFmtId="0" fontId="0" fillId="30" borderId="9" xfId="0" applyFill="1" applyBorder="1" applyAlignment="1">
      <alignment horizontal="left"/>
    </xf>
    <xf numFmtId="0" fontId="15" fillId="30" borderId="9" xfId="0" quotePrefix="1" applyFont="1" applyFill="1" applyBorder="1" applyAlignment="1">
      <alignment horizontal="left"/>
    </xf>
    <xf numFmtId="0" fontId="3" fillId="30" borderId="9" xfId="0" applyFont="1" applyFill="1" applyBorder="1" applyAlignment="1">
      <alignment horizontal="left"/>
    </xf>
    <xf numFmtId="0" fontId="34" fillId="6" borderId="39" xfId="0" applyFont="1" applyFill="1" applyBorder="1" applyAlignment="1">
      <alignment horizontal="center" vertical="center"/>
    </xf>
    <xf numFmtId="0" fontId="34" fillId="6" borderId="11" xfId="0" applyFont="1" applyFill="1" applyBorder="1" applyAlignment="1">
      <alignment horizontal="center" vertical="center"/>
    </xf>
    <xf numFmtId="0" fontId="34" fillId="6" borderId="12" xfId="0" applyFont="1" applyFill="1" applyBorder="1" applyAlignment="1">
      <alignment horizontal="center" vertical="center"/>
    </xf>
    <xf numFmtId="0" fontId="35" fillId="24" borderId="4" xfId="0" quotePrefix="1" applyFont="1" applyFill="1" applyBorder="1" applyAlignment="1">
      <alignment horizontal="left" vertical="center"/>
    </xf>
    <xf numFmtId="0" fontId="35" fillId="24" borderId="0" xfId="0" quotePrefix="1" applyFont="1" applyFill="1" applyBorder="1" applyAlignment="1">
      <alignment horizontal="left" vertical="center"/>
    </xf>
    <xf numFmtId="0" fontId="35" fillId="24" borderId="35" xfId="0" quotePrefix="1" applyFont="1" applyFill="1" applyBorder="1" applyAlignment="1">
      <alignment horizontal="left" vertical="center"/>
    </xf>
    <xf numFmtId="0" fontId="0" fillId="30" borderId="10" xfId="0" applyFill="1" applyBorder="1" applyAlignment="1">
      <alignment horizontal="left"/>
    </xf>
    <xf numFmtId="0" fontId="0" fillId="30" borderId="11" xfId="0" applyFill="1" applyBorder="1" applyAlignment="1">
      <alignment horizontal="left"/>
    </xf>
    <xf numFmtId="0" fontId="0" fillId="30" borderId="12" xfId="0" applyFill="1" applyBorder="1" applyAlignment="1">
      <alignment horizontal="left"/>
    </xf>
    <xf numFmtId="0" fontId="3" fillId="30" borderId="10" xfId="0" applyFont="1" applyFill="1" applyBorder="1" applyAlignment="1">
      <alignment horizontal="left"/>
    </xf>
    <xf numFmtId="0" fontId="3" fillId="30" borderId="11" xfId="0" applyFont="1" applyFill="1" applyBorder="1" applyAlignment="1">
      <alignment horizontal="left"/>
    </xf>
    <xf numFmtId="0" fontId="3" fillId="30" borderId="12" xfId="0" applyFont="1" applyFill="1" applyBorder="1" applyAlignment="1">
      <alignment horizontal="left"/>
    </xf>
    <xf numFmtId="0" fontId="0" fillId="16" borderId="9" xfId="0" applyFont="1" applyFill="1" applyBorder="1" applyAlignment="1">
      <alignment horizontal="left"/>
    </xf>
    <xf numFmtId="0" fontId="34" fillId="24" borderId="42" xfId="0" quotePrefix="1" applyFont="1" applyFill="1" applyBorder="1" applyAlignment="1">
      <alignment horizontal="left" vertical="center"/>
    </xf>
    <xf numFmtId="0" fontId="34" fillId="24" borderId="38" xfId="0" quotePrefix="1" applyFont="1" applyFill="1" applyBorder="1" applyAlignment="1">
      <alignment horizontal="left" vertical="center"/>
    </xf>
    <xf numFmtId="0" fontId="34" fillId="24" borderId="36" xfId="0" quotePrefix="1" applyFont="1" applyFill="1" applyBorder="1" applyAlignment="1">
      <alignment horizontal="left" vertical="center"/>
    </xf>
    <xf numFmtId="0" fontId="35" fillId="24" borderId="44" xfId="0" quotePrefix="1" applyFont="1" applyFill="1" applyBorder="1" applyAlignment="1">
      <alignment horizontal="left" vertical="center"/>
    </xf>
    <xf numFmtId="0" fontId="35" fillId="24" borderId="37" xfId="0" quotePrefix="1" applyFont="1" applyFill="1" applyBorder="1" applyAlignment="1">
      <alignment horizontal="left" vertical="center"/>
    </xf>
    <xf numFmtId="0" fontId="35" fillId="24" borderId="40" xfId="0" quotePrefix="1" applyFont="1" applyFill="1" applyBorder="1" applyAlignment="1">
      <alignment horizontal="left" vertical="center"/>
    </xf>
    <xf numFmtId="0" fontId="34" fillId="24" borderId="4" xfId="0" quotePrefix="1" applyFont="1" applyFill="1" applyBorder="1" applyAlignment="1">
      <alignment horizontal="left" vertical="center"/>
    </xf>
    <xf numFmtId="0" fontId="34" fillId="24" borderId="0" xfId="0" quotePrefix="1" applyFont="1" applyFill="1" applyBorder="1" applyAlignment="1">
      <alignment horizontal="left" vertical="center"/>
    </xf>
    <xf numFmtId="0" fontId="34" fillId="24" borderId="35" xfId="0" quotePrefix="1" applyFont="1" applyFill="1" applyBorder="1" applyAlignment="1">
      <alignment horizontal="left" vertical="center"/>
    </xf>
    <xf numFmtId="0" fontId="32" fillId="24" borderId="39" xfId="0" quotePrefix="1" applyFont="1" applyFill="1" applyBorder="1" applyAlignment="1">
      <alignment horizontal="left" vertical="center"/>
    </xf>
    <xf numFmtId="0" fontId="32" fillId="24" borderId="11" xfId="0" quotePrefix="1" applyFont="1" applyFill="1" applyBorder="1" applyAlignment="1">
      <alignment horizontal="left" vertical="center"/>
    </xf>
    <xf numFmtId="0" fontId="32" fillId="24" borderId="12" xfId="0" quotePrefix="1" applyFont="1" applyFill="1" applyBorder="1" applyAlignment="1">
      <alignment horizontal="left" vertical="center"/>
    </xf>
    <xf numFmtId="0" fontId="34" fillId="24" borderId="42" xfId="0" quotePrefix="1" applyFont="1" applyFill="1" applyBorder="1" applyAlignment="1">
      <alignment horizontal="left" vertical="center" wrapText="1"/>
    </xf>
    <xf numFmtId="0" fontId="34" fillId="24" borderId="38" xfId="0" quotePrefix="1" applyFont="1" applyFill="1" applyBorder="1" applyAlignment="1">
      <alignment horizontal="left" vertical="center" wrapText="1"/>
    </xf>
    <xf numFmtId="0" fontId="34" fillId="24" borderId="36" xfId="0" quotePrefix="1" applyFont="1" applyFill="1" applyBorder="1" applyAlignment="1">
      <alignment horizontal="left" vertical="center" wrapText="1"/>
    </xf>
    <xf numFmtId="0" fontId="35" fillId="24" borderId="44" xfId="0" quotePrefix="1" applyFont="1" applyFill="1" applyBorder="1" applyAlignment="1">
      <alignment horizontal="left" vertical="center" wrapText="1"/>
    </xf>
    <xf numFmtId="0" fontId="35" fillId="24" borderId="37" xfId="0" quotePrefix="1" applyFont="1" applyFill="1" applyBorder="1" applyAlignment="1">
      <alignment horizontal="left" vertical="center" wrapText="1"/>
    </xf>
    <xf numFmtId="0" fontId="35" fillId="24" borderId="40" xfId="0" quotePrefix="1" applyFont="1" applyFill="1" applyBorder="1" applyAlignment="1">
      <alignment horizontal="left" vertical="center" wrapText="1"/>
    </xf>
    <xf numFmtId="0" fontId="32" fillId="18" borderId="39" xfId="0" quotePrefix="1" applyFont="1" applyFill="1" applyBorder="1" applyAlignment="1">
      <alignment horizontal="right" vertical="center"/>
    </xf>
    <xf numFmtId="0" fontId="32" fillId="18" borderId="11" xfId="0" quotePrefix="1" applyFont="1" applyFill="1" applyBorder="1" applyAlignment="1">
      <alignment horizontal="right" vertical="center"/>
    </xf>
    <xf numFmtId="0" fontId="32" fillId="18" borderId="12" xfId="0" quotePrefix="1" applyFont="1" applyFill="1" applyBorder="1" applyAlignment="1">
      <alignment horizontal="right" vertical="center"/>
    </xf>
    <xf numFmtId="0" fontId="48" fillId="16" borderId="23" xfId="0" applyFont="1" applyFill="1" applyBorder="1" applyAlignment="1">
      <alignment horizontal="center" vertical="center" textRotation="180" wrapText="1"/>
    </xf>
    <xf numFmtId="0" fontId="48" fillId="16" borderId="25" xfId="0" applyFont="1" applyFill="1" applyBorder="1" applyAlignment="1">
      <alignment horizontal="center" vertical="center" textRotation="180" wrapText="1"/>
    </xf>
    <xf numFmtId="0" fontId="48" fillId="16" borderId="24" xfId="0" applyFont="1" applyFill="1" applyBorder="1" applyAlignment="1">
      <alignment horizontal="center" vertical="center" textRotation="180" wrapText="1"/>
    </xf>
    <xf numFmtId="0" fontId="38" fillId="6" borderId="42" xfId="0" quotePrefix="1" applyFont="1" applyFill="1" applyBorder="1" applyAlignment="1">
      <alignment horizontal="center" vertical="center"/>
    </xf>
    <xf numFmtId="0" fontId="38" fillId="6" borderId="38" xfId="0" quotePrefix="1" applyFont="1" applyFill="1" applyBorder="1" applyAlignment="1">
      <alignment horizontal="center" vertical="center"/>
    </xf>
    <xf numFmtId="0" fontId="32" fillId="16" borderId="9" xfId="5" quotePrefix="1" applyFont="1" applyFill="1" applyBorder="1" applyAlignment="1">
      <alignment horizontal="left" vertical="center"/>
    </xf>
    <xf numFmtId="0" fontId="32" fillId="16" borderId="9" xfId="5" applyFont="1" applyFill="1" applyBorder="1" applyAlignment="1">
      <alignment horizontal="left" vertical="center"/>
    </xf>
    <xf numFmtId="0" fontId="31" fillId="16" borderId="9" xfId="0" quotePrefix="1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/>
    </xf>
    <xf numFmtId="0" fontId="3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left"/>
    </xf>
    <xf numFmtId="0" fontId="37" fillId="6" borderId="9" xfId="0" applyFont="1" applyFill="1" applyBorder="1" applyAlignment="1">
      <alignment horizontal="center"/>
    </xf>
    <xf numFmtId="0" fontId="67" fillId="2" borderId="9" xfId="0" applyFont="1" applyFill="1" applyBorder="1" applyAlignment="1">
      <alignment horizontal="center"/>
    </xf>
    <xf numFmtId="0" fontId="3" fillId="16" borderId="59" xfId="0" applyFont="1" applyFill="1" applyBorder="1" applyAlignment="1">
      <alignment horizontal="left"/>
    </xf>
    <xf numFmtId="0" fontId="3" fillId="16" borderId="58" xfId="0" applyFont="1" applyFill="1" applyBorder="1" applyAlignment="1">
      <alignment horizontal="left"/>
    </xf>
    <xf numFmtId="0" fontId="3" fillId="16" borderId="13" xfId="0" applyFont="1" applyFill="1" applyBorder="1" applyAlignment="1">
      <alignment horizontal="left"/>
    </xf>
    <xf numFmtId="0" fontId="3" fillId="16" borderId="9" xfId="0" applyFont="1" applyFill="1" applyBorder="1" applyAlignment="1">
      <alignment horizontal="left"/>
    </xf>
    <xf numFmtId="0" fontId="44" fillId="6" borderId="9" xfId="0" applyFont="1" applyFill="1" applyBorder="1" applyAlignment="1">
      <alignment horizontal="left"/>
    </xf>
    <xf numFmtId="0" fontId="45" fillId="6" borderId="9" xfId="0" applyFont="1" applyFill="1" applyBorder="1" applyAlignment="1">
      <alignment horizontal="left"/>
    </xf>
    <xf numFmtId="0" fontId="3" fillId="16" borderId="10" xfId="0" applyFont="1" applyFill="1" applyBorder="1" applyAlignment="1">
      <alignment horizontal="left"/>
    </xf>
    <xf numFmtId="0" fontId="3" fillId="16" borderId="11" xfId="0" applyFont="1" applyFill="1" applyBorder="1" applyAlignment="1">
      <alignment horizontal="left"/>
    </xf>
    <xf numFmtId="0" fontId="3" fillId="16" borderId="12" xfId="0" applyFont="1" applyFill="1" applyBorder="1" applyAlignment="1">
      <alignment horizontal="left"/>
    </xf>
    <xf numFmtId="0" fontId="0" fillId="16" borderId="10" xfId="0" applyFont="1" applyFill="1" applyBorder="1" applyAlignment="1">
      <alignment horizontal="left"/>
    </xf>
    <xf numFmtId="0" fontId="0" fillId="16" borderId="11" xfId="0" applyFont="1" applyFill="1" applyBorder="1" applyAlignment="1">
      <alignment horizontal="left"/>
    </xf>
    <xf numFmtId="0" fontId="0" fillId="16" borderId="12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14" fillId="2" borderId="9" xfId="0" applyFont="1" applyFill="1" applyBorder="1" applyAlignment="1">
      <alignment horizontal="left"/>
    </xf>
    <xf numFmtId="0" fontId="69" fillId="2" borderId="9" xfId="0" quotePrefix="1" applyFont="1" applyFill="1" applyBorder="1" applyAlignment="1">
      <alignment horizontal="left" vertical="center"/>
    </xf>
    <xf numFmtId="0" fontId="69" fillId="2" borderId="9" xfId="0" quotePrefix="1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horizontal="left"/>
    </xf>
    <xf numFmtId="0" fontId="14" fillId="2" borderId="59" xfId="0" applyFont="1" applyFill="1" applyBorder="1" applyAlignment="1">
      <alignment horizontal="left"/>
    </xf>
    <xf numFmtId="0" fontId="49" fillId="16" borderId="23" xfId="0" applyFont="1" applyFill="1" applyBorder="1" applyAlignment="1">
      <alignment horizontal="center" vertical="center" textRotation="180"/>
    </xf>
    <xf numFmtId="0" fontId="49" fillId="16" borderId="25" xfId="0" applyFont="1" applyFill="1" applyBorder="1" applyAlignment="1">
      <alignment horizontal="center" vertical="center" textRotation="180"/>
    </xf>
    <xf numFmtId="0" fontId="49" fillId="16" borderId="5" xfId="0" applyFont="1" applyFill="1" applyBorder="1" applyAlignment="1">
      <alignment horizontal="center" vertical="center" textRotation="180"/>
    </xf>
    <xf numFmtId="0" fontId="49" fillId="16" borderId="24" xfId="0" applyFont="1" applyFill="1" applyBorder="1" applyAlignment="1">
      <alignment horizontal="center" vertical="center" textRotation="180"/>
    </xf>
    <xf numFmtId="0" fontId="62" fillId="20" borderId="1" xfId="0" applyFont="1" applyFill="1" applyBorder="1" applyAlignment="1">
      <alignment horizontal="center" vertical="center"/>
    </xf>
    <xf numFmtId="0" fontId="62" fillId="20" borderId="2" xfId="0" applyFont="1" applyFill="1" applyBorder="1" applyAlignment="1">
      <alignment horizontal="center" vertical="center"/>
    </xf>
    <xf numFmtId="0" fontId="62" fillId="20" borderId="3" xfId="0" applyFont="1" applyFill="1" applyBorder="1" applyAlignment="1">
      <alignment horizontal="center" vertical="center"/>
    </xf>
    <xf numFmtId="0" fontId="62" fillId="20" borderId="6" xfId="0" applyFont="1" applyFill="1" applyBorder="1" applyAlignment="1">
      <alignment horizontal="center" vertical="center"/>
    </xf>
    <xf numFmtId="0" fontId="62" fillId="20" borderId="7" xfId="0" applyFont="1" applyFill="1" applyBorder="1" applyAlignment="1">
      <alignment horizontal="center" vertical="center"/>
    </xf>
    <xf numFmtId="0" fontId="62" fillId="20" borderId="8" xfId="0" applyFont="1" applyFill="1" applyBorder="1" applyAlignment="1">
      <alignment horizontal="center" vertical="center"/>
    </xf>
    <xf numFmtId="0" fontId="50" fillId="20" borderId="27" xfId="0" applyFont="1" applyFill="1" applyBorder="1" applyAlignment="1">
      <alignment horizontal="center" vertical="center"/>
    </xf>
    <xf numFmtId="0" fontId="50" fillId="20" borderId="28" xfId="0" applyFont="1" applyFill="1" applyBorder="1" applyAlignment="1">
      <alignment horizontal="center" vertical="center"/>
    </xf>
    <xf numFmtId="0" fontId="50" fillId="20" borderId="29" xfId="0" applyFont="1" applyFill="1" applyBorder="1" applyAlignment="1">
      <alignment horizontal="center" vertical="center"/>
    </xf>
    <xf numFmtId="0" fontId="3" fillId="20" borderId="31" xfId="0" applyFont="1" applyFill="1" applyBorder="1" applyAlignment="1">
      <alignment horizontal="left"/>
    </xf>
    <xf numFmtId="0" fontId="3" fillId="20" borderId="54" xfId="0" applyFont="1" applyFill="1" applyBorder="1" applyAlignment="1">
      <alignment horizontal="left"/>
    </xf>
    <xf numFmtId="0" fontId="3" fillId="20" borderId="45" xfId="0" applyFont="1" applyFill="1" applyBorder="1" applyAlignment="1">
      <alignment horizontal="left"/>
    </xf>
    <xf numFmtId="0" fontId="3" fillId="20" borderId="34" xfId="0" applyFont="1" applyFill="1" applyBorder="1" applyAlignment="1">
      <alignment horizontal="left"/>
    </xf>
    <xf numFmtId="0" fontId="3" fillId="20" borderId="33" xfId="0" applyFont="1" applyFill="1" applyBorder="1" applyAlignment="1">
      <alignment horizontal="left"/>
    </xf>
    <xf numFmtId="0" fontId="3" fillId="20" borderId="47" xfId="0" applyFont="1" applyFill="1" applyBorder="1" applyAlignment="1">
      <alignment horizontal="left"/>
    </xf>
    <xf numFmtId="0" fontId="3" fillId="20" borderId="32" xfId="0" applyFont="1" applyFill="1" applyBorder="1" applyAlignment="1">
      <alignment horizontal="left"/>
    </xf>
    <xf numFmtId="0" fontId="3" fillId="20" borderId="9" xfId="0" applyFont="1" applyFill="1" applyBorder="1" applyAlignment="1">
      <alignment horizontal="left"/>
    </xf>
    <xf numFmtId="0" fontId="3" fillId="20" borderId="46" xfId="0" applyFont="1" applyFill="1" applyBorder="1" applyAlignment="1">
      <alignment horizontal="left"/>
    </xf>
    <xf numFmtId="0" fontId="60" fillId="6" borderId="13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left"/>
    </xf>
    <xf numFmtId="0" fontId="2" fillId="6" borderId="54" xfId="0" applyFont="1" applyFill="1" applyBorder="1" applyAlignment="1">
      <alignment horizontal="left"/>
    </xf>
    <xf numFmtId="0" fontId="2" fillId="6" borderId="45" xfId="0" applyFont="1" applyFill="1" applyBorder="1" applyAlignment="1">
      <alignment horizontal="left"/>
    </xf>
    <xf numFmtId="0" fontId="2" fillId="6" borderId="32" xfId="0" applyFont="1" applyFill="1" applyBorder="1" applyAlignment="1">
      <alignment horizontal="left"/>
    </xf>
    <xf numFmtId="0" fontId="2" fillId="6" borderId="46" xfId="0" applyFont="1" applyFill="1" applyBorder="1" applyAlignment="1">
      <alignment horizontal="left"/>
    </xf>
    <xf numFmtId="0" fontId="2" fillId="6" borderId="34" xfId="0" applyFont="1" applyFill="1" applyBorder="1" applyAlignment="1">
      <alignment horizontal="left"/>
    </xf>
    <xf numFmtId="0" fontId="2" fillId="6" borderId="33" xfId="0" applyFont="1" applyFill="1" applyBorder="1" applyAlignment="1">
      <alignment horizontal="left"/>
    </xf>
    <xf numFmtId="0" fontId="2" fillId="6" borderId="47" xfId="0" applyFont="1" applyFill="1" applyBorder="1" applyAlignment="1">
      <alignment horizontal="left"/>
    </xf>
    <xf numFmtId="0" fontId="70" fillId="2" borderId="9" xfId="0" applyFont="1" applyFill="1" applyBorder="1" applyAlignment="1">
      <alignment horizontal="left"/>
    </xf>
    <xf numFmtId="0" fontId="48" fillId="16" borderId="23" xfId="0" applyFont="1" applyFill="1" applyBorder="1" applyAlignment="1">
      <alignment horizontal="center" vertical="center" textRotation="180"/>
    </xf>
    <xf numFmtId="0" fontId="48" fillId="16" borderId="25" xfId="0" applyFont="1" applyFill="1" applyBorder="1" applyAlignment="1">
      <alignment horizontal="center" vertical="center" textRotation="180"/>
    </xf>
    <xf numFmtId="0" fontId="48" fillId="16" borderId="5" xfId="0" applyFont="1" applyFill="1" applyBorder="1" applyAlignment="1">
      <alignment horizontal="center" vertical="center" textRotation="180"/>
    </xf>
    <xf numFmtId="0" fontId="48" fillId="16" borderId="24" xfId="0" applyFont="1" applyFill="1" applyBorder="1" applyAlignment="1">
      <alignment horizontal="center" vertical="center" textRotation="180"/>
    </xf>
    <xf numFmtId="0" fontId="14" fillId="2" borderId="13" xfId="0" applyFont="1" applyFill="1" applyBorder="1" applyAlignment="1">
      <alignment horizontal="left"/>
    </xf>
  </cellXfs>
  <cellStyles count="16">
    <cellStyle name="Millares" xfId="9" builtinId="3"/>
    <cellStyle name="Millares [0]" xfId="1" builtinId="6"/>
    <cellStyle name="Millares [0] 2" xfId="7"/>
    <cellStyle name="Millares [0] 2 2" xfId="8"/>
    <cellStyle name="Millares [0] 2 2 2" xfId="13"/>
    <cellStyle name="Millares [0] 2 3" xfId="12"/>
    <cellStyle name="Millares [0] 3" xfId="10"/>
    <cellStyle name="Millares 2" xfId="6"/>
    <cellStyle name="Millares 2 2" xfId="11"/>
    <cellStyle name="Millares 3" xfId="14"/>
    <cellStyle name="Millares 4" xfId="15"/>
    <cellStyle name="Moneda" xfId="3" builtinId="4"/>
    <cellStyle name="Normal" xfId="0" builtinId="0"/>
    <cellStyle name="Normal 2 2" xfId="4"/>
    <cellStyle name="Normal_TALLER No 7 MODELOS VT_FCLO" xfId="5"/>
    <cellStyle name="Porcentaje" xfId="2" builtinId="5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6600"/>
      <color rgb="FFEFFE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Financiero'!$G$83:$Q$83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'Analisis Financiero'!$G$85:$Q$85</c:f>
              <c:numCache>
                <c:formatCode>_-* #,##0_-;\-* #,##0_-;_-* "-"??_-;_-@_-</c:formatCode>
                <c:ptCount val="11"/>
                <c:pt idx="0">
                  <c:v>38715485</c:v>
                </c:pt>
                <c:pt idx="1">
                  <c:v>28632157</c:v>
                </c:pt>
                <c:pt idx="2">
                  <c:v>35125738</c:v>
                </c:pt>
                <c:pt idx="3">
                  <c:v>41528969</c:v>
                </c:pt>
                <c:pt idx="4">
                  <c:v>47339770</c:v>
                </c:pt>
                <c:pt idx="5">
                  <c:v>44975314.177695006</c:v>
                </c:pt>
                <c:pt idx="6">
                  <c:v>49381995.46082557</c:v>
                </c:pt>
                <c:pt idx="7">
                  <c:v>53660945.367506102</c:v>
                </c:pt>
                <c:pt idx="8">
                  <c:v>58034312.414957859</c:v>
                </c:pt>
                <c:pt idx="9">
                  <c:v>62525007.509627298</c:v>
                </c:pt>
                <c:pt idx="10">
                  <c:v>67105589.559782602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8C-4947-9D50-E67DF29A0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6056"/>
        <c:axId val="308120176"/>
      </c:lineChart>
      <c:catAx>
        <c:axId val="308126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0176"/>
        <c:crosses val="autoZero"/>
        <c:auto val="1"/>
        <c:lblAlgn val="ctr"/>
        <c:lblOffset val="100"/>
        <c:noMultiLvlLbl val="0"/>
      </c:catAx>
      <c:valAx>
        <c:axId val="30812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6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Financiero'!$G$38:$Q$38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'Analisis Financiero'!$G$54:$Q$54</c:f>
              <c:numCache>
                <c:formatCode>_(* #,##0_);_(* \(#,##0\);_(* "-"_);_(@_)</c:formatCode>
                <c:ptCount val="11"/>
                <c:pt idx="0">
                  <c:v>26831875</c:v>
                </c:pt>
                <c:pt idx="1">
                  <c:v>17573017</c:v>
                </c:pt>
                <c:pt idx="2">
                  <c:v>18188171</c:v>
                </c:pt>
                <c:pt idx="3">
                  <c:v>20394516</c:v>
                </c:pt>
                <c:pt idx="4">
                  <c:v>24424705</c:v>
                </c:pt>
                <c:pt idx="5">
                  <c:v>23204776.471717503</c:v>
                </c:pt>
                <c:pt idx="6">
                  <c:v>25478380.470416389</c:v>
                </c:pt>
                <c:pt idx="7">
                  <c:v>27686082.138177961</c:v>
                </c:pt>
                <c:pt idx="8">
                  <c:v>29942497.832439475</c:v>
                </c:pt>
                <c:pt idx="9">
                  <c:v>32259448.314713642</c:v>
                </c:pt>
                <c:pt idx="10">
                  <c:v>34622775.498249568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2E-4464-A175-311CB6282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7232"/>
        <c:axId val="308125664"/>
      </c:lineChart>
      <c:catAx>
        <c:axId val="30812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5664"/>
        <c:crosses val="autoZero"/>
        <c:auto val="1"/>
        <c:lblAlgn val="ctr"/>
        <c:lblOffset val="100"/>
        <c:noMultiLvlLbl val="0"/>
      </c:catAx>
      <c:valAx>
        <c:axId val="308125664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Financiero'!$G$38:$Q$38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'Analisis Financiero'!$G$69:$Q$69</c:f>
              <c:numCache>
                <c:formatCode>_(* #,##0_);_(* \(#,##0\);_(* "-"_);_(@_)</c:formatCode>
                <c:ptCount val="11"/>
                <c:pt idx="0">
                  <c:v>10075344</c:v>
                </c:pt>
                <c:pt idx="1">
                  <c:v>9285384</c:v>
                </c:pt>
                <c:pt idx="2">
                  <c:v>9510619</c:v>
                </c:pt>
                <c:pt idx="3">
                  <c:v>10736516</c:v>
                </c:pt>
                <c:pt idx="4">
                  <c:v>12208271</c:v>
                </c:pt>
                <c:pt idx="5">
                  <c:v>11598510.592498502</c:v>
                </c:pt>
                <c:pt idx="6">
                  <c:v>12734932.660351506</c:v>
                </c:pt>
                <c:pt idx="7">
                  <c:v>13838414.575370964</c:v>
                </c:pt>
                <c:pt idx="8">
                  <c:v>14966245.363263698</c:v>
                </c:pt>
                <c:pt idx="9">
                  <c:v>16124333.429473046</c:v>
                </c:pt>
                <c:pt idx="10">
                  <c:v>17305602.096516244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67-4EC5-8E02-8F306D7812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4488"/>
        <c:axId val="308124880"/>
      </c:lineChart>
      <c:catAx>
        <c:axId val="308124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4880"/>
        <c:crosses val="autoZero"/>
        <c:auto val="1"/>
        <c:lblAlgn val="ctr"/>
        <c:lblOffset val="100"/>
        <c:noMultiLvlLbl val="0"/>
      </c:catAx>
      <c:valAx>
        <c:axId val="30812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4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Financiero'!$G$83:$Q$83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'Analisis Financiero'!$G$78:$Q$78</c:f>
              <c:numCache>
                <c:formatCode>_(* #,##0_);_(* \(#,##0\);_(* "-"_);_(@_)</c:formatCode>
                <c:ptCount val="11"/>
                <c:pt idx="0">
                  <c:v>26831875</c:v>
                </c:pt>
                <c:pt idx="1">
                  <c:v>17573017</c:v>
                </c:pt>
                <c:pt idx="2">
                  <c:v>18188171</c:v>
                </c:pt>
                <c:pt idx="3">
                  <c:v>20394516</c:v>
                </c:pt>
                <c:pt idx="4">
                  <c:v>24424705</c:v>
                </c:pt>
                <c:pt idx="5">
                  <c:v>23204776.471717499</c:v>
                </c:pt>
                <c:pt idx="6">
                  <c:v>25478380.470416389</c:v>
                </c:pt>
                <c:pt idx="7">
                  <c:v>27686082.138177961</c:v>
                </c:pt>
                <c:pt idx="8">
                  <c:v>29942497.832439475</c:v>
                </c:pt>
                <c:pt idx="9">
                  <c:v>32259448.314713642</c:v>
                </c:pt>
                <c:pt idx="10">
                  <c:v>34622775.498249568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8E-452A-948D-4593CC262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6840"/>
        <c:axId val="311571184"/>
      </c:lineChart>
      <c:catAx>
        <c:axId val="308126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1184"/>
        <c:crosses val="autoZero"/>
        <c:auto val="1"/>
        <c:lblAlgn val="ctr"/>
        <c:lblOffset val="100"/>
        <c:noMultiLvlLbl val="0"/>
      </c:catAx>
      <c:valAx>
        <c:axId val="31157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6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Reducción de Costos en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Operativas'!$E$10:$I$10</c:f>
              <c:numCache>
                <c:formatCode>0\ "p"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'Estrategias Operativas'!$E$11:$I$11</c:f>
              <c:numCache>
                <c:formatCode>0.00%</c:formatCode>
                <c:ptCount val="5"/>
                <c:pt idx="0">
                  <c:v>-0.02</c:v>
                </c:pt>
                <c:pt idx="1">
                  <c:v>5.0000000000000001E-3</c:v>
                </c:pt>
                <c:pt idx="2">
                  <c:v>5.0000000000000001E-3</c:v>
                </c:pt>
                <c:pt idx="3">
                  <c:v>0.01</c:v>
                </c:pt>
                <c:pt idx="4">
                  <c:v>1.4999999999999999E-2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38-4F6D-93E8-91EEBDA20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5104"/>
        <c:axId val="311573928"/>
      </c:lineChart>
      <c:catAx>
        <c:axId val="311575104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3928"/>
        <c:crosses val="autoZero"/>
        <c:auto val="1"/>
        <c:lblAlgn val="ctr"/>
        <c:lblOffset val="100"/>
        <c:noMultiLvlLbl val="0"/>
      </c:catAx>
      <c:valAx>
        <c:axId val="311573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5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Administrativos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Operativas'!$E$10:$I$10</c:f>
              <c:numCache>
                <c:formatCode>0\ "p"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'Estrategias Operativas'!$E$16:$I$16</c:f>
              <c:numCache>
                <c:formatCode>0.00%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1C-4662-9FFF-C6508467A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6280"/>
        <c:axId val="311571968"/>
      </c:lineChart>
      <c:catAx>
        <c:axId val="311576280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1968"/>
        <c:crosses val="autoZero"/>
        <c:auto val="1"/>
        <c:lblAlgn val="ctr"/>
        <c:lblOffset val="100"/>
        <c:noMultiLvlLbl val="0"/>
      </c:catAx>
      <c:valAx>
        <c:axId val="31157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6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Ventas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Operativas'!$E$10:$I$10</c:f>
              <c:numCache>
                <c:formatCode>0\ "p"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'Estrategias Operativas'!$E$21:$I$21</c:f>
              <c:numCache>
                <c:formatCode>0.00%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6-40D2-B210-6C5EFC2B2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4712"/>
        <c:axId val="311574320"/>
      </c:lineChart>
      <c:catAx>
        <c:axId val="311574712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4320"/>
        <c:crosses val="autoZero"/>
        <c:auto val="1"/>
        <c:lblAlgn val="ctr"/>
        <c:lblOffset val="100"/>
        <c:noMultiLvlLbl val="0"/>
      </c:catAx>
      <c:valAx>
        <c:axId val="31157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4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Incremento</a:t>
            </a:r>
            <a:r>
              <a:rPr lang="es-CO" baseline="0"/>
              <a:t> en Ventas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'Estrategias Operativas'!$A$32:$D$32</c:f>
              <c:strCache>
                <c:ptCount val="4"/>
                <c:pt idx="0">
                  <c:v>Gradiente Crecimiento Valoración Natural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Operativas'!$E$31:$I$31</c:f>
              <c:numCache>
                <c:formatCode>0\ "p"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'Estrategias Operativas'!$E$32:$I$32</c:f>
              <c:numCache>
                <c:formatCode>0.00%</c:formatCode>
                <c:ptCount val="5"/>
                <c:pt idx="0">
                  <c:v>-4.9946499999999894E-2</c:v>
                </c:pt>
                <c:pt idx="1">
                  <c:v>9.7980000000000178E-2</c:v>
                </c:pt>
                <c:pt idx="2">
                  <c:v>8.6649999999999894E-2</c:v>
                </c:pt>
                <c:pt idx="3">
                  <c:v>8.1500000000000128E-2</c:v>
                </c:pt>
                <c:pt idx="4">
                  <c:v>7.7380000000000004E-2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30-465A-99B1-40B89F501B64}"/>
            </c:ext>
          </c:extLst>
        </c:ser>
        <c:ser>
          <c:idx val="1"/>
          <c:order val="1"/>
          <c:tx>
            <c:strRef>
              <c:f>'Estrategias Operativas'!$A$35:$D$35</c:f>
              <c:strCache>
                <c:ptCount val="4"/>
                <c:pt idx="0">
                  <c:v>INCREMENTO GRADIENTE DE CRECIMIENTO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Operativas'!$E$31:$I$31</c:f>
              <c:numCache>
                <c:formatCode>0\ "p"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'Estrategias Operativas'!$E$35:$I$35</c:f>
              <c:numCache>
                <c:formatCode>0.0%</c:formatCode>
                <c:ptCount val="5"/>
                <c:pt idx="0">
                  <c:v>-4.9946499999999894E-2</c:v>
                </c:pt>
                <c:pt idx="1">
                  <c:v>0.10456788000000028</c:v>
                </c:pt>
                <c:pt idx="2">
                  <c:v>9.7516500000000006E-2</c:v>
                </c:pt>
                <c:pt idx="3">
                  <c:v>9.7722499999999934E-2</c:v>
                </c:pt>
                <c:pt idx="4">
                  <c:v>0.10431449999999987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30-465A-99B1-40B89F501B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7456"/>
        <c:axId val="311577848"/>
      </c:lineChart>
      <c:catAx>
        <c:axId val="311577456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7848"/>
        <c:crosses val="autoZero"/>
        <c:auto val="1"/>
        <c:lblAlgn val="ctr"/>
        <c:lblOffset val="100"/>
        <c:noMultiLvlLbl val="0"/>
      </c:catAx>
      <c:valAx>
        <c:axId val="311577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7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Estrategia'!$F$83:$O$83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Estrategia'!$F$85:$O$85</c:f>
              <c:numCache>
                <c:formatCode>_-* #,##0_-;\-* #,##0_-;_-* "-"??_-;_-@_-</c:formatCode>
                <c:ptCount val="10"/>
                <c:pt idx="0">
                  <c:v>38715485</c:v>
                </c:pt>
                <c:pt idx="1">
                  <c:v>28632157</c:v>
                </c:pt>
                <c:pt idx="2">
                  <c:v>35125738</c:v>
                </c:pt>
                <c:pt idx="3">
                  <c:v>41528969</c:v>
                </c:pt>
                <c:pt idx="4">
                  <c:v>47339770</c:v>
                </c:pt>
                <c:pt idx="5">
                  <c:v>44975314.177695006</c:v>
                </c:pt>
                <c:pt idx="6">
                  <c:v>49678287.433590531</c:v>
                </c:pt>
                <c:pt idx="7">
                  <c:v>54522740.150108263</c:v>
                </c:pt>
                <c:pt idx="8">
                  <c:v>59850838.624427214</c:v>
                </c:pt>
                <c:pt idx="9">
                  <c:v>66094148.930115022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B-43E7-8B96-CAA3B5CA9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2360"/>
        <c:axId val="311572752"/>
      </c:lineChart>
      <c:catAx>
        <c:axId val="311572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2752"/>
        <c:crosses val="autoZero"/>
        <c:auto val="1"/>
        <c:lblAlgn val="ctr"/>
        <c:lblOffset val="100"/>
        <c:noMultiLvlLbl val="0"/>
      </c:catAx>
      <c:valAx>
        <c:axId val="31157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2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Estrategia'!$F$38:$O$38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Estrategia'!$F$54:$O$54</c:f>
              <c:numCache>
                <c:formatCode>_(* #,##0_);_(* \(#,##0\);_(* "-"_);_(@_)</c:formatCode>
                <c:ptCount val="10"/>
                <c:pt idx="0">
                  <c:v>26831875</c:v>
                </c:pt>
                <c:pt idx="1">
                  <c:v>17573017</c:v>
                </c:pt>
                <c:pt idx="2">
                  <c:v>18188171</c:v>
                </c:pt>
                <c:pt idx="3">
                  <c:v>20394516</c:v>
                </c:pt>
                <c:pt idx="4">
                  <c:v>24424705</c:v>
                </c:pt>
                <c:pt idx="5">
                  <c:v>23204776.471717503</c:v>
                </c:pt>
                <c:pt idx="6">
                  <c:v>25631250.753238887</c:v>
                </c:pt>
                <c:pt idx="7">
                  <c:v>28130720.61731711</c:v>
                </c:pt>
                <c:pt idx="8">
                  <c:v>30879724.962842874</c:v>
                </c:pt>
                <c:pt idx="9">
                  <c:v>34100928.032479346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A-4FD5-92BD-853412B33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573536"/>
        <c:axId val="311575888"/>
      </c:lineChart>
      <c:catAx>
        <c:axId val="31157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5888"/>
        <c:crosses val="autoZero"/>
        <c:auto val="1"/>
        <c:lblAlgn val="ctr"/>
        <c:lblOffset val="100"/>
        <c:noMultiLvlLbl val="0"/>
      </c:catAx>
      <c:valAx>
        <c:axId val="311575888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1157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Estrategia'!$F$38:$O$38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Estrategia'!$F$69:$O$69</c:f>
              <c:numCache>
                <c:formatCode>_(* #,##0_);_(* \(#,##0\);_(* "-"_);_(@_)</c:formatCode>
                <c:ptCount val="10"/>
                <c:pt idx="0">
                  <c:v>10075344</c:v>
                </c:pt>
                <c:pt idx="1">
                  <c:v>9285384</c:v>
                </c:pt>
                <c:pt idx="2">
                  <c:v>9510619</c:v>
                </c:pt>
                <c:pt idx="3">
                  <c:v>10736516</c:v>
                </c:pt>
                <c:pt idx="4">
                  <c:v>12208271</c:v>
                </c:pt>
                <c:pt idx="5">
                  <c:v>11598510.592498502</c:v>
                </c:pt>
                <c:pt idx="6">
                  <c:v>12811342.256313616</c:v>
                </c:pt>
                <c:pt idx="7">
                  <c:v>14060659.513451423</c:v>
                </c:pt>
                <c:pt idx="8">
                  <c:v>15434702.312754678</c:v>
                </c:pt>
                <c:pt idx="9">
                  <c:v>17044765.567158524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AE-4F8D-A748-1BE54BCBA4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2528"/>
        <c:axId val="308123312"/>
      </c:lineChart>
      <c:catAx>
        <c:axId val="30812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3312"/>
        <c:crosses val="autoZero"/>
        <c:auto val="1"/>
        <c:lblAlgn val="ctr"/>
        <c:lblOffset val="100"/>
        <c:noMultiLvlLbl val="0"/>
      </c:catAx>
      <c:valAx>
        <c:axId val="30812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2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Estrategia'!$F$83:$O$83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Estrategia'!$F$78:$O$78</c:f>
              <c:numCache>
                <c:formatCode>_(* #,##0_);_(* \(#,##0\);_(* "-"_);_(@_)</c:formatCode>
                <c:ptCount val="10"/>
                <c:pt idx="0">
                  <c:v>26831875</c:v>
                </c:pt>
                <c:pt idx="1">
                  <c:v>17573017</c:v>
                </c:pt>
                <c:pt idx="2">
                  <c:v>18188171</c:v>
                </c:pt>
                <c:pt idx="3">
                  <c:v>20394516</c:v>
                </c:pt>
                <c:pt idx="4">
                  <c:v>24424705</c:v>
                </c:pt>
                <c:pt idx="5">
                  <c:v>23204776.471717499</c:v>
                </c:pt>
                <c:pt idx="6">
                  <c:v>25631250.753238887</c:v>
                </c:pt>
                <c:pt idx="7">
                  <c:v>28130720.61731711</c:v>
                </c:pt>
                <c:pt idx="8">
                  <c:v>30879724.962842874</c:v>
                </c:pt>
                <c:pt idx="9">
                  <c:v>34100928.032479346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A8-4D4F-BF72-EB84D5BE5C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24096"/>
        <c:axId val="382316080"/>
      </c:lineChart>
      <c:catAx>
        <c:axId val="30812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2316080"/>
        <c:crosses val="autoZero"/>
        <c:auto val="1"/>
        <c:lblAlgn val="ctr"/>
        <c:lblOffset val="100"/>
        <c:noMultiLvlLbl val="0"/>
      </c:catAx>
      <c:valAx>
        <c:axId val="38231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8124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Gestión de Valor por Método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'Valoración + Estrategia'!$G$199</c:f>
              <c:strCache>
                <c:ptCount val="1"/>
                <c:pt idx="0">
                  <c:v>P/BV ANTES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'Valoración + Estrategia'!$B$200:$F$203</c:f>
              <c:strCache>
                <c:ptCount val="4"/>
                <c:pt idx="0">
                  <c:v>Patrimonial</c:v>
                </c:pt>
                <c:pt idx="1">
                  <c:v>Sustancial  Neto</c:v>
                </c:pt>
                <c:pt idx="2">
                  <c:v>EBITDA</c:v>
                </c:pt>
                <c:pt idx="3">
                  <c:v>FCLD</c:v>
                </c:pt>
              </c:strCache>
            </c:strRef>
          </c:cat>
          <c:val>
            <c:numRef>
              <c:f>'Valoración + Estrategia'!$G$200:$G$203</c:f>
              <c:numCache>
                <c:formatCode>0.00\ \X</c:formatCode>
                <c:ptCount val="4"/>
                <c:pt idx="0">
                  <c:v>1.4175309588488199</c:v>
                </c:pt>
                <c:pt idx="1">
                  <c:v>1.5893086980768822</c:v>
                </c:pt>
                <c:pt idx="2">
                  <c:v>3.7748086496637328</c:v>
                </c:pt>
                <c:pt idx="3">
                  <c:v>3.0847415672665224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63-4042-93F7-B75275133211}"/>
            </c:ext>
          </c:extLst>
        </c:ser>
        <c:ser>
          <c:idx val="1"/>
          <c:order val="1"/>
          <c:tx>
            <c:strRef>
              <c:f>'Valoración + Estrategia'!$H$199</c:f>
              <c:strCache>
                <c:ptCount val="1"/>
                <c:pt idx="0">
                  <c:v>P/BV 
+ Tratamiento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'Valoración + Estrategia'!$B$200:$F$203</c:f>
              <c:strCache>
                <c:ptCount val="4"/>
                <c:pt idx="0">
                  <c:v>Patrimonial</c:v>
                </c:pt>
                <c:pt idx="1">
                  <c:v>Sustancial  Neto</c:v>
                </c:pt>
                <c:pt idx="2">
                  <c:v>EBITDA</c:v>
                </c:pt>
                <c:pt idx="3">
                  <c:v>FCLD</c:v>
                </c:pt>
              </c:strCache>
            </c:strRef>
          </c:cat>
          <c:val>
            <c:numRef>
              <c:f>'Valoración + Estrategia'!$H$200:$H$203</c:f>
              <c:numCache>
                <c:formatCode>0.00\ \X</c:formatCode>
                <c:ptCount val="4"/>
                <c:pt idx="0">
                  <c:v>1.3961654002568034</c:v>
                </c:pt>
                <c:pt idx="1">
                  <c:v>1.565354040933352</c:v>
                </c:pt>
                <c:pt idx="2">
                  <c:v>3.7966467463553024</c:v>
                </c:pt>
                <c:pt idx="3">
                  <c:v>11.451736951393078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63-4042-93F7-B75275133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50605231"/>
        <c:axId val="1850591503"/>
      </c:barChart>
      <c:lineChart>
        <c:grouping val="standard"/>
        <c:varyColors val="0"/>
        <c:ser>
          <c:idx val="2"/>
          <c:order val="2"/>
          <c:tx>
            <c:strRef>
              <c:f>'Valoración + Estrategia'!$J$199</c:f>
              <c:strCache>
                <c:ptCount val="1"/>
                <c:pt idx="0">
                  <c:v>P/BV Sector 
(Damodaran)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263-4042-93F7-B7527513321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'Valoración + Estrategia'!$J$200:$J$203</c:f>
              <c:numCache>
                <c:formatCode>0.00\ \X</c:formatCode>
                <c:ptCount val="4"/>
                <c:pt idx="0">
                  <c:v>0.67</c:v>
                </c:pt>
                <c:pt idx="1">
                  <c:v>0.67</c:v>
                </c:pt>
                <c:pt idx="2">
                  <c:v>0.67</c:v>
                </c:pt>
                <c:pt idx="3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3-4042-93F7-B75275133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0605231"/>
        <c:axId val="1850591503"/>
      </c:lineChart>
      <c:catAx>
        <c:axId val="1850605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50591503"/>
        <c:crosses val="autoZero"/>
        <c:auto val="1"/>
        <c:lblAlgn val="ctr"/>
        <c:lblOffset val="100"/>
        <c:noMultiLvlLbl val="0"/>
      </c:catAx>
      <c:valAx>
        <c:axId val="1850591503"/>
        <c:scaling>
          <c:orientation val="minMax"/>
        </c:scaling>
        <c:delete val="0"/>
        <c:axPos val="l"/>
        <c:numFmt formatCode="0.00\ \X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50605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190501</xdr:colOff>
      <xdr:row>0</xdr:row>
      <xdr:rowOff>1</xdr:rowOff>
    </xdr:from>
    <xdr:to>
      <xdr:col>18</xdr:col>
      <xdr:colOff>526678</xdr:colOff>
      <xdr:row>9</xdr:row>
      <xdr:rowOff>190501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8677" y="1"/>
          <a:ext cx="3406588" cy="19162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514351</xdr:colOff>
      <xdr:row>1</xdr:row>
      <xdr:rowOff>180975</xdr:rowOff>
    </xdr:from>
    <xdr:to>
      <xdr:col>17</xdr:col>
      <xdr:colOff>323851</xdr:colOff>
      <xdr:row>4</xdr:row>
      <xdr:rowOff>142874</xdr:rowOff>
    </xdr:to>
    <xdr:sp macro="" textlink="">
      <xdr:nvSpPr>
        <xdr:cNvPr id="2" name="Forma lib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7984693">
          <a:off x="12182476" y="352425"/>
          <a:ext cx="533399" cy="571500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561975</xdr:colOff>
      <xdr:row>0</xdr:row>
      <xdr:rowOff>161927</xdr:rowOff>
    </xdr:from>
    <xdr:to>
      <xdr:col>17</xdr:col>
      <xdr:colOff>476250</xdr:colOff>
      <xdr:row>3</xdr:row>
      <xdr:rowOff>95250</xdr:rowOff>
    </xdr:to>
    <xdr:cxnSp macro="">
      <xdr:nvCxnSpPr>
        <xdr:cNvPr id="6" name="Conector angula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2211050" y="161927"/>
          <a:ext cx="676275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685800</xdr:colOff>
      <xdr:row>1</xdr:row>
      <xdr:rowOff>142876</xdr:rowOff>
    </xdr:from>
    <xdr:to>
      <xdr:col>17</xdr:col>
      <xdr:colOff>666750</xdr:colOff>
      <xdr:row>4</xdr:row>
      <xdr:rowOff>66675</xdr:rowOff>
    </xdr:to>
    <xdr:cxnSp macro="">
      <xdr:nvCxnSpPr>
        <xdr:cNvPr id="7" name="Conector angula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2334875" y="333376"/>
          <a:ext cx="742950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349251</xdr:colOff>
      <xdr:row>82</xdr:row>
      <xdr:rowOff>10584</xdr:rowOff>
    </xdr:from>
    <xdr:to>
      <xdr:col>20</xdr:col>
      <xdr:colOff>666750</xdr:colOff>
      <xdr:row>96</xdr:row>
      <xdr:rowOff>2117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830790</xdr:colOff>
      <xdr:row>81</xdr:row>
      <xdr:rowOff>199760</xdr:rowOff>
    </xdr:from>
    <xdr:to>
      <xdr:col>25</xdr:col>
      <xdr:colOff>1238250</xdr:colOff>
      <xdr:row>95</xdr:row>
      <xdr:rowOff>191294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1416844</xdr:colOff>
      <xdr:row>82</xdr:row>
      <xdr:rowOff>0</xdr:rowOff>
    </xdr:from>
    <xdr:to>
      <xdr:col>30</xdr:col>
      <xdr:colOff>326760</xdr:colOff>
      <xdr:row>95</xdr:row>
      <xdr:rowOff>182033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485510</xdr:colOff>
      <xdr:row>82</xdr:row>
      <xdr:rowOff>0</xdr:rowOff>
    </xdr:from>
    <xdr:to>
      <xdr:col>36</xdr:col>
      <xdr:colOff>478896</xdr:colOff>
      <xdr:row>95</xdr:row>
      <xdr:rowOff>182033</xdr:rowOff>
    </xdr:to>
    <xdr:graphicFrame macro="">
      <xdr:nvGraphicFramePr>
        <xdr:cNvPr id="21" name="Gráfic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665427</xdr:colOff>
      <xdr:row>84</xdr:row>
      <xdr:rowOff>96572</xdr:rowOff>
    </xdr:from>
    <xdr:to>
      <xdr:col>33</xdr:col>
      <xdr:colOff>665427</xdr:colOff>
      <xdr:row>94</xdr:row>
      <xdr:rowOff>107156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 flipV="1">
          <a:off x="31466896" y="17574947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823119</xdr:colOff>
      <xdr:row>84</xdr:row>
      <xdr:rowOff>86253</xdr:rowOff>
    </xdr:from>
    <xdr:to>
      <xdr:col>27</xdr:col>
      <xdr:colOff>823119</xdr:colOff>
      <xdr:row>94</xdr:row>
      <xdr:rowOff>96837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V="1">
          <a:off x="26731119" y="17564628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352425</xdr:colOff>
      <xdr:row>84</xdr:row>
      <xdr:rowOff>67997</xdr:rowOff>
    </xdr:from>
    <xdr:to>
      <xdr:col>23</xdr:col>
      <xdr:colOff>352425</xdr:colOff>
      <xdr:row>94</xdr:row>
      <xdr:rowOff>78581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V="1">
          <a:off x="21676519" y="17546372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171451</xdr:colOff>
      <xdr:row>84</xdr:row>
      <xdr:rowOff>86783</xdr:rowOff>
    </xdr:from>
    <xdr:to>
      <xdr:col>19</xdr:col>
      <xdr:colOff>171451</xdr:colOff>
      <xdr:row>94</xdr:row>
      <xdr:rowOff>97367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 flipV="1">
          <a:off x="16554451" y="44494450"/>
          <a:ext cx="0" cy="1989667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69</xdr:row>
          <xdr:rowOff>76200</xdr:rowOff>
        </xdr:from>
        <xdr:to>
          <xdr:col>18</xdr:col>
          <xdr:colOff>1428750</xdr:colOff>
          <xdr:row>71</xdr:row>
          <xdr:rowOff>104775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514351</xdr:colOff>
      <xdr:row>1</xdr:row>
      <xdr:rowOff>180975</xdr:rowOff>
    </xdr:from>
    <xdr:to>
      <xdr:col>16</xdr:col>
      <xdr:colOff>323851</xdr:colOff>
      <xdr:row>4</xdr:row>
      <xdr:rowOff>142874</xdr:rowOff>
    </xdr:to>
    <xdr:sp macro="" textlink="">
      <xdr:nvSpPr>
        <xdr:cNvPr id="15" name="Forma libre 1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7984693">
          <a:off x="16594933" y="221456"/>
          <a:ext cx="533399" cy="833437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561975</xdr:colOff>
      <xdr:row>0</xdr:row>
      <xdr:rowOff>161927</xdr:rowOff>
    </xdr:from>
    <xdr:to>
      <xdr:col>16</xdr:col>
      <xdr:colOff>476250</xdr:colOff>
      <xdr:row>3</xdr:row>
      <xdr:rowOff>95250</xdr:rowOff>
    </xdr:to>
    <xdr:cxnSp macro="">
      <xdr:nvCxnSpPr>
        <xdr:cNvPr id="16" name="Conector angular 1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6492538" y="161927"/>
          <a:ext cx="938212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685800</xdr:colOff>
      <xdr:row>1</xdr:row>
      <xdr:rowOff>142876</xdr:rowOff>
    </xdr:from>
    <xdr:to>
      <xdr:col>16</xdr:col>
      <xdr:colOff>666750</xdr:colOff>
      <xdr:row>4</xdr:row>
      <xdr:rowOff>66675</xdr:rowOff>
    </xdr:to>
    <xdr:cxnSp macro="">
      <xdr:nvCxnSpPr>
        <xdr:cNvPr id="17" name="Conector angular 1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6616363" y="333376"/>
          <a:ext cx="1004887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206375</xdr:colOff>
      <xdr:row>52</xdr:row>
      <xdr:rowOff>103188</xdr:rowOff>
    </xdr:from>
    <xdr:to>
      <xdr:col>19</xdr:col>
      <xdr:colOff>190500</xdr:colOff>
      <xdr:row>52</xdr:row>
      <xdr:rowOff>111126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13692188" y="10818813"/>
          <a:ext cx="3857625" cy="7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428625</xdr:colOff>
      <xdr:row>50</xdr:row>
      <xdr:rowOff>71437</xdr:rowOff>
    </xdr:from>
    <xdr:to>
      <xdr:col>14</xdr:col>
      <xdr:colOff>428625</xdr:colOff>
      <xdr:row>52</xdr:row>
      <xdr:rowOff>111126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3914438" y="10398125"/>
          <a:ext cx="0" cy="4286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642937</xdr:colOff>
      <xdr:row>49</xdr:row>
      <xdr:rowOff>134938</xdr:rowOff>
    </xdr:from>
    <xdr:to>
      <xdr:col>14</xdr:col>
      <xdr:colOff>652463</xdr:colOff>
      <xdr:row>52</xdr:row>
      <xdr:rowOff>112714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 flipH="1" flipV="1">
          <a:off x="14128750" y="10263188"/>
          <a:ext cx="9526" cy="5651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</xdr:colOff>
      <xdr:row>50</xdr:row>
      <xdr:rowOff>79375</xdr:rowOff>
    </xdr:from>
    <xdr:to>
      <xdr:col>15</xdr:col>
      <xdr:colOff>66676</xdr:colOff>
      <xdr:row>52</xdr:row>
      <xdr:rowOff>122240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H="1" flipV="1">
          <a:off x="14374813" y="10406063"/>
          <a:ext cx="3176" cy="4318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322263</xdr:colOff>
      <xdr:row>49</xdr:row>
      <xdr:rowOff>7938</xdr:rowOff>
    </xdr:from>
    <xdr:to>
      <xdr:col>15</xdr:col>
      <xdr:colOff>325437</xdr:colOff>
      <xdr:row>52</xdr:row>
      <xdr:rowOff>115890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V="1">
          <a:off x="14633576" y="10136188"/>
          <a:ext cx="3174" cy="695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601663</xdr:colOff>
      <xdr:row>49</xdr:row>
      <xdr:rowOff>119063</xdr:rowOff>
    </xdr:from>
    <xdr:to>
      <xdr:col>15</xdr:col>
      <xdr:colOff>603250</xdr:colOff>
      <xdr:row>52</xdr:row>
      <xdr:rowOff>117478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V="1">
          <a:off x="14912976" y="10247313"/>
          <a:ext cx="1587" cy="5857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150813</xdr:colOff>
      <xdr:row>49</xdr:row>
      <xdr:rowOff>112713</xdr:rowOff>
    </xdr:from>
    <xdr:to>
      <xdr:col>16</xdr:col>
      <xdr:colOff>152400</xdr:colOff>
      <xdr:row>52</xdr:row>
      <xdr:rowOff>111128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V="1">
          <a:off x="15224126" y="10240963"/>
          <a:ext cx="1587" cy="5857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404812</xdr:colOff>
      <xdr:row>49</xdr:row>
      <xdr:rowOff>39688</xdr:rowOff>
    </xdr:from>
    <xdr:to>
      <xdr:col>16</xdr:col>
      <xdr:colOff>406401</xdr:colOff>
      <xdr:row>52</xdr:row>
      <xdr:rowOff>112716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 flipV="1">
          <a:off x="15478125" y="10167938"/>
          <a:ext cx="1589" cy="66040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677865</xdr:colOff>
      <xdr:row>48</xdr:row>
      <xdr:rowOff>127000</xdr:rowOff>
    </xdr:from>
    <xdr:to>
      <xdr:col>16</xdr:col>
      <xdr:colOff>682625</xdr:colOff>
      <xdr:row>52</xdr:row>
      <xdr:rowOff>114305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V="1">
          <a:off x="15751178" y="10064750"/>
          <a:ext cx="4760" cy="7651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195265</xdr:colOff>
      <xdr:row>48</xdr:row>
      <xdr:rowOff>47625</xdr:rowOff>
    </xdr:from>
    <xdr:to>
      <xdr:col>17</xdr:col>
      <xdr:colOff>198437</xdr:colOff>
      <xdr:row>52</xdr:row>
      <xdr:rowOff>100018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V="1">
          <a:off x="16030578" y="9985375"/>
          <a:ext cx="3172" cy="830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450853</xdr:colOff>
      <xdr:row>47</xdr:row>
      <xdr:rowOff>150813</xdr:rowOff>
    </xdr:from>
    <xdr:to>
      <xdr:col>17</xdr:col>
      <xdr:colOff>452437</xdr:colOff>
      <xdr:row>52</xdr:row>
      <xdr:rowOff>109543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V="1">
          <a:off x="16286166" y="9898063"/>
          <a:ext cx="1584" cy="9271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682628</xdr:colOff>
      <xdr:row>48</xdr:row>
      <xdr:rowOff>63500</xdr:rowOff>
    </xdr:from>
    <xdr:to>
      <xdr:col>19</xdr:col>
      <xdr:colOff>166687</xdr:colOff>
      <xdr:row>50</xdr:row>
      <xdr:rowOff>95259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V="1">
          <a:off x="16517941" y="10001250"/>
          <a:ext cx="1008059" cy="4206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309562</xdr:colOff>
      <xdr:row>52</xdr:row>
      <xdr:rowOff>134937</xdr:rowOff>
    </xdr:from>
    <xdr:to>
      <xdr:col>14</xdr:col>
      <xdr:colOff>507999</xdr:colOff>
      <xdr:row>53</xdr:row>
      <xdr:rowOff>142874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3795375" y="10850562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</a:t>
          </a:r>
        </a:p>
      </xdr:txBody>
    </xdr:sp>
    <xdr:clientData/>
  </xdr:twoCellAnchor>
  <xdr:twoCellAnchor>
    <xdr:from>
      <xdr:col>14</xdr:col>
      <xdr:colOff>541337</xdr:colOff>
      <xdr:row>52</xdr:row>
      <xdr:rowOff>144462</xdr:rowOff>
    </xdr:from>
    <xdr:to>
      <xdr:col>14</xdr:col>
      <xdr:colOff>739774</xdr:colOff>
      <xdr:row>53</xdr:row>
      <xdr:rowOff>152399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4027150" y="10860087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2</a:t>
          </a:r>
        </a:p>
      </xdr:txBody>
    </xdr:sp>
    <xdr:clientData/>
  </xdr:twoCellAnchor>
  <xdr:twoCellAnchor>
    <xdr:from>
      <xdr:col>14</xdr:col>
      <xdr:colOff>773112</xdr:colOff>
      <xdr:row>52</xdr:row>
      <xdr:rowOff>138112</xdr:rowOff>
    </xdr:from>
    <xdr:to>
      <xdr:col>15</xdr:col>
      <xdr:colOff>146049</xdr:colOff>
      <xdr:row>53</xdr:row>
      <xdr:rowOff>146049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4258925" y="10853737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3</a:t>
          </a:r>
        </a:p>
      </xdr:txBody>
    </xdr:sp>
    <xdr:clientData/>
  </xdr:twoCellAnchor>
  <xdr:twoCellAnchor>
    <xdr:from>
      <xdr:col>15</xdr:col>
      <xdr:colOff>203199</xdr:colOff>
      <xdr:row>52</xdr:row>
      <xdr:rowOff>155574</xdr:rowOff>
    </xdr:from>
    <xdr:to>
      <xdr:col>15</xdr:col>
      <xdr:colOff>401636</xdr:colOff>
      <xdr:row>53</xdr:row>
      <xdr:rowOff>163511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14514512" y="1087119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4</a:t>
          </a:r>
        </a:p>
      </xdr:txBody>
    </xdr:sp>
    <xdr:clientData/>
  </xdr:twoCellAnchor>
  <xdr:twoCellAnchor>
    <xdr:from>
      <xdr:col>15</xdr:col>
      <xdr:colOff>482599</xdr:colOff>
      <xdr:row>52</xdr:row>
      <xdr:rowOff>149224</xdr:rowOff>
    </xdr:from>
    <xdr:to>
      <xdr:col>15</xdr:col>
      <xdr:colOff>681036</xdr:colOff>
      <xdr:row>53</xdr:row>
      <xdr:rowOff>157161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14793912" y="1086484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5</a:t>
          </a:r>
        </a:p>
      </xdr:txBody>
    </xdr:sp>
    <xdr:clientData/>
  </xdr:twoCellAnchor>
  <xdr:twoCellAnchor>
    <xdr:from>
      <xdr:col>16</xdr:col>
      <xdr:colOff>31749</xdr:colOff>
      <xdr:row>52</xdr:row>
      <xdr:rowOff>166686</xdr:rowOff>
    </xdr:from>
    <xdr:to>
      <xdr:col>16</xdr:col>
      <xdr:colOff>230186</xdr:colOff>
      <xdr:row>53</xdr:row>
      <xdr:rowOff>174623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15105062" y="10882311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6</a:t>
          </a:r>
        </a:p>
      </xdr:txBody>
    </xdr:sp>
    <xdr:clientData/>
  </xdr:twoCellAnchor>
  <xdr:twoCellAnchor>
    <xdr:from>
      <xdr:col>16</xdr:col>
      <xdr:colOff>287336</xdr:colOff>
      <xdr:row>52</xdr:row>
      <xdr:rowOff>168274</xdr:rowOff>
    </xdr:from>
    <xdr:to>
      <xdr:col>16</xdr:col>
      <xdr:colOff>485773</xdr:colOff>
      <xdr:row>53</xdr:row>
      <xdr:rowOff>176211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15360649" y="1088389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7</a:t>
          </a:r>
        </a:p>
      </xdr:txBody>
    </xdr:sp>
    <xdr:clientData/>
  </xdr:twoCellAnchor>
  <xdr:twoCellAnchor>
    <xdr:from>
      <xdr:col>16</xdr:col>
      <xdr:colOff>534986</xdr:colOff>
      <xdr:row>52</xdr:row>
      <xdr:rowOff>161924</xdr:rowOff>
    </xdr:from>
    <xdr:to>
      <xdr:col>16</xdr:col>
      <xdr:colOff>733423</xdr:colOff>
      <xdr:row>53</xdr:row>
      <xdr:rowOff>169861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15608299" y="1087754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8</a:t>
          </a:r>
        </a:p>
      </xdr:txBody>
    </xdr:sp>
    <xdr:clientData/>
  </xdr:twoCellAnchor>
  <xdr:twoCellAnchor>
    <xdr:from>
      <xdr:col>17</xdr:col>
      <xdr:colOff>76199</xdr:colOff>
      <xdr:row>52</xdr:row>
      <xdr:rowOff>163511</xdr:rowOff>
    </xdr:from>
    <xdr:to>
      <xdr:col>17</xdr:col>
      <xdr:colOff>274636</xdr:colOff>
      <xdr:row>53</xdr:row>
      <xdr:rowOff>171448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5911512" y="10879136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9</a:t>
          </a:r>
        </a:p>
      </xdr:txBody>
    </xdr:sp>
    <xdr:clientData/>
  </xdr:twoCellAnchor>
  <xdr:twoCellAnchor>
    <xdr:from>
      <xdr:col>17</xdr:col>
      <xdr:colOff>300036</xdr:colOff>
      <xdr:row>52</xdr:row>
      <xdr:rowOff>173036</xdr:rowOff>
    </xdr:from>
    <xdr:to>
      <xdr:col>17</xdr:col>
      <xdr:colOff>635000</xdr:colOff>
      <xdr:row>53</xdr:row>
      <xdr:rowOff>180973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16135349" y="10888661"/>
          <a:ext cx="334964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10</a:t>
          </a:r>
        </a:p>
      </xdr:txBody>
    </xdr:sp>
    <xdr:clientData/>
  </xdr:twoCellAnchor>
  <xdr:twoCellAnchor>
    <xdr:from>
      <xdr:col>17</xdr:col>
      <xdr:colOff>684213</xdr:colOff>
      <xdr:row>50</xdr:row>
      <xdr:rowOff>88900</xdr:rowOff>
    </xdr:from>
    <xdr:to>
      <xdr:col>17</xdr:col>
      <xdr:colOff>690562</xdr:colOff>
      <xdr:row>52</xdr:row>
      <xdr:rowOff>95250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H="1" flipV="1">
          <a:off x="16519526" y="10415588"/>
          <a:ext cx="6349" cy="3952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355599</xdr:colOff>
      <xdr:row>49</xdr:row>
      <xdr:rowOff>173036</xdr:rowOff>
    </xdr:from>
    <xdr:to>
      <xdr:col>18</xdr:col>
      <xdr:colOff>611187</xdr:colOff>
      <xdr:row>51</xdr:row>
      <xdr:rowOff>23812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>
        <a:xfrm>
          <a:off x="16952912" y="10301286"/>
          <a:ext cx="255588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</a:t>
          </a:r>
        </a:p>
      </xdr:txBody>
    </xdr:sp>
    <xdr:clientData/>
  </xdr:twoCellAnchor>
  <xdr:twoCellAnchor>
    <xdr:from>
      <xdr:col>19</xdr:col>
      <xdr:colOff>155573</xdr:colOff>
      <xdr:row>48</xdr:row>
      <xdr:rowOff>63500</xdr:rowOff>
    </xdr:from>
    <xdr:to>
      <xdr:col>19</xdr:col>
      <xdr:colOff>158750</xdr:colOff>
      <xdr:row>52</xdr:row>
      <xdr:rowOff>111125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 flipH="1" flipV="1">
          <a:off x="17514886" y="10001250"/>
          <a:ext cx="3177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424655</xdr:colOff>
      <xdr:row>54</xdr:row>
      <xdr:rowOff>19843</xdr:rowOff>
    </xdr:from>
    <xdr:to>
      <xdr:col>15</xdr:col>
      <xdr:colOff>607218</xdr:colOff>
      <xdr:row>56</xdr:row>
      <xdr:rowOff>99218</xdr:rowOff>
    </xdr:to>
    <xdr:sp macro="" textlink="">
      <xdr:nvSpPr>
        <xdr:cNvPr id="46" name="Abrir llave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rot="16200000">
          <a:off x="14184312" y="10850562"/>
          <a:ext cx="460375" cy="100806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164305</xdr:colOff>
      <xdr:row>54</xdr:row>
      <xdr:rowOff>37305</xdr:rowOff>
    </xdr:from>
    <xdr:to>
      <xdr:col>17</xdr:col>
      <xdr:colOff>492125</xdr:colOff>
      <xdr:row>56</xdr:row>
      <xdr:rowOff>116680</xdr:rowOff>
    </xdr:to>
    <xdr:sp macro="" textlink="">
      <xdr:nvSpPr>
        <xdr:cNvPr id="47" name="Abrir llav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rot="16200000">
          <a:off x="15552340" y="10827146"/>
          <a:ext cx="460375" cy="108982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673893</xdr:colOff>
      <xdr:row>54</xdr:row>
      <xdr:rowOff>23018</xdr:rowOff>
    </xdr:from>
    <xdr:to>
      <xdr:col>19</xdr:col>
      <xdr:colOff>157956</xdr:colOff>
      <xdr:row>56</xdr:row>
      <xdr:rowOff>102393</xdr:rowOff>
    </xdr:to>
    <xdr:sp macro="" textlink="">
      <xdr:nvSpPr>
        <xdr:cNvPr id="48" name="Abrir llave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>
        <a:xfrm rot="16200000">
          <a:off x="16783050" y="10853737"/>
          <a:ext cx="460375" cy="100806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596900</xdr:colOff>
      <xdr:row>47</xdr:row>
      <xdr:rowOff>152400</xdr:rowOff>
    </xdr:from>
    <xdr:to>
      <xdr:col>17</xdr:col>
      <xdr:colOff>600076</xdr:colOff>
      <xdr:row>50</xdr:row>
      <xdr:rowOff>4764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 flipH="1" flipV="1">
          <a:off x="16432213" y="9899650"/>
          <a:ext cx="3176" cy="4318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458789</xdr:colOff>
      <xdr:row>50</xdr:row>
      <xdr:rowOff>6351</xdr:rowOff>
    </xdr:from>
    <xdr:to>
      <xdr:col>17</xdr:col>
      <xdr:colOff>603250</xdr:colOff>
      <xdr:row>50</xdr:row>
      <xdr:rowOff>7937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CxnSpPr/>
      </xdr:nvCxnSpPr>
      <xdr:spPr>
        <a:xfrm>
          <a:off x="16294102" y="10333039"/>
          <a:ext cx="144461" cy="15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595311</xdr:colOff>
      <xdr:row>46</xdr:row>
      <xdr:rowOff>134936</xdr:rowOff>
    </xdr:from>
    <xdr:to>
      <xdr:col>19</xdr:col>
      <xdr:colOff>571500</xdr:colOff>
      <xdr:row>47</xdr:row>
      <xdr:rowOff>184150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16430624" y="9691686"/>
          <a:ext cx="1500189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Valor</a:t>
          </a:r>
          <a:r>
            <a:rPr lang="es-CO" sz="1100" baseline="0"/>
            <a:t> de continuidad</a:t>
          </a:r>
          <a:endParaRPr lang="es-CO" sz="1100"/>
        </a:p>
      </xdr:txBody>
    </xdr:sp>
    <xdr:clientData/>
  </xdr:twoCellAnchor>
  <xdr:twoCellAnchor>
    <xdr:from>
      <xdr:col>17</xdr:col>
      <xdr:colOff>739774</xdr:colOff>
      <xdr:row>53</xdr:row>
      <xdr:rowOff>160336</xdr:rowOff>
    </xdr:from>
    <xdr:to>
      <xdr:col>19</xdr:col>
      <xdr:colOff>127000</xdr:colOff>
      <xdr:row>55</xdr:row>
      <xdr:rowOff>19050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>
        <a:xfrm>
          <a:off x="16575087" y="11074399"/>
          <a:ext cx="911226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Perpetuidad</a:t>
          </a:r>
        </a:p>
      </xdr:txBody>
    </xdr:sp>
    <xdr:clientData/>
  </xdr:twoCellAnchor>
  <xdr:twoCellAnchor>
    <xdr:from>
      <xdr:col>16</xdr:col>
      <xdr:colOff>249237</xdr:colOff>
      <xdr:row>53</xdr:row>
      <xdr:rowOff>177798</xdr:rowOff>
    </xdr:from>
    <xdr:to>
      <xdr:col>17</xdr:col>
      <xdr:colOff>398463</xdr:colOff>
      <xdr:row>55</xdr:row>
      <xdr:rowOff>36512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>
        <a:xfrm>
          <a:off x="15322550" y="11091861"/>
          <a:ext cx="911226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Proyectado</a:t>
          </a:r>
        </a:p>
      </xdr:txBody>
    </xdr:sp>
    <xdr:clientData/>
  </xdr:twoCellAnchor>
  <xdr:twoCellAnchor>
    <xdr:from>
      <xdr:col>14</xdr:col>
      <xdr:colOff>592136</xdr:colOff>
      <xdr:row>53</xdr:row>
      <xdr:rowOff>179385</xdr:rowOff>
    </xdr:from>
    <xdr:to>
      <xdr:col>15</xdr:col>
      <xdr:colOff>492124</xdr:colOff>
      <xdr:row>55</xdr:row>
      <xdr:rowOff>38099</xdr:rowOff>
    </xdr:to>
    <xdr:sp macro="" textlink="">
      <xdr:nvSpPr>
        <xdr:cNvPr id="56" name="Rectángulo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14077949" y="11093448"/>
          <a:ext cx="725488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Histórico</a:t>
          </a:r>
        </a:p>
      </xdr:txBody>
    </xdr:sp>
    <xdr:clientData/>
  </xdr:twoCellAnchor>
  <xdr:twoCellAnchor>
    <xdr:from>
      <xdr:col>19</xdr:col>
      <xdr:colOff>192086</xdr:colOff>
      <xdr:row>49</xdr:row>
      <xdr:rowOff>17460</xdr:rowOff>
    </xdr:from>
    <xdr:to>
      <xdr:col>20</xdr:col>
      <xdr:colOff>357187</xdr:colOff>
      <xdr:row>51</xdr:row>
      <xdr:rowOff>79374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>
        <a:xfrm>
          <a:off x="17551399" y="10145710"/>
          <a:ext cx="927101" cy="45085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Gradiente de crecimiento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8</xdr:row>
      <xdr:rowOff>109537</xdr:rowOff>
    </xdr:from>
    <xdr:to>
      <xdr:col>16</xdr:col>
      <xdr:colOff>95250</xdr:colOff>
      <xdr:row>19</xdr:row>
      <xdr:rowOff>161925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133350</xdr:colOff>
      <xdr:row>8</xdr:row>
      <xdr:rowOff>85724</xdr:rowOff>
    </xdr:from>
    <xdr:to>
      <xdr:col>21</xdr:col>
      <xdr:colOff>19050</xdr:colOff>
      <xdr:row>19</xdr:row>
      <xdr:rowOff>171449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76200</xdr:colOff>
      <xdr:row>8</xdr:row>
      <xdr:rowOff>76200</xdr:rowOff>
    </xdr:from>
    <xdr:to>
      <xdr:col>25</xdr:col>
      <xdr:colOff>723900</xdr:colOff>
      <xdr:row>19</xdr:row>
      <xdr:rowOff>161925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466725</xdr:colOff>
      <xdr:row>20</xdr:row>
      <xdr:rowOff>109537</xdr:rowOff>
    </xdr:from>
    <xdr:to>
      <xdr:col>21</xdr:col>
      <xdr:colOff>466725</xdr:colOff>
      <xdr:row>34</xdr:row>
      <xdr:rowOff>128587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514351</xdr:colOff>
      <xdr:row>1</xdr:row>
      <xdr:rowOff>180975</xdr:rowOff>
    </xdr:from>
    <xdr:to>
      <xdr:col>15</xdr:col>
      <xdr:colOff>323851</xdr:colOff>
      <xdr:row>4</xdr:row>
      <xdr:rowOff>142874</xdr:rowOff>
    </xdr:to>
    <xdr:sp macro="" textlink="">
      <xdr:nvSpPr>
        <xdr:cNvPr id="2" name="Forma lib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 rot="17984693">
          <a:off x="13444539" y="271462"/>
          <a:ext cx="533399" cy="733425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561975</xdr:colOff>
      <xdr:row>0</xdr:row>
      <xdr:rowOff>161927</xdr:rowOff>
    </xdr:from>
    <xdr:to>
      <xdr:col>15</xdr:col>
      <xdr:colOff>476250</xdr:colOff>
      <xdr:row>3</xdr:row>
      <xdr:rowOff>95250</xdr:rowOff>
    </xdr:to>
    <xdr:cxnSp macro="">
      <xdr:nvCxnSpPr>
        <xdr:cNvPr id="3" name="Conector angula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V="1">
          <a:off x="13392150" y="161927"/>
          <a:ext cx="838200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1</xdr:row>
      <xdr:rowOff>142876</xdr:rowOff>
    </xdr:from>
    <xdr:to>
      <xdr:col>15</xdr:col>
      <xdr:colOff>666750</xdr:colOff>
      <xdr:row>4</xdr:row>
      <xdr:rowOff>66675</xdr:rowOff>
    </xdr:to>
    <xdr:cxnSp macro="">
      <xdr:nvCxnSpPr>
        <xdr:cNvPr id="4" name="Conector angula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V="1">
          <a:off x="13515975" y="333376"/>
          <a:ext cx="904875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798288</xdr:colOff>
      <xdr:row>81</xdr:row>
      <xdr:rowOff>173870</xdr:rowOff>
    </xdr:from>
    <xdr:to>
      <xdr:col>21</xdr:col>
      <xdr:colOff>326573</xdr:colOff>
      <xdr:row>95</xdr:row>
      <xdr:rowOff>165403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687917</xdr:colOff>
      <xdr:row>82</xdr:row>
      <xdr:rowOff>21166</xdr:rowOff>
    </xdr:from>
    <xdr:to>
      <xdr:col>24</xdr:col>
      <xdr:colOff>910167</xdr:colOff>
      <xdr:row>96</xdr:row>
      <xdr:rowOff>12699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30</xdr:col>
      <xdr:colOff>433916</xdr:colOff>
      <xdr:row>95</xdr:row>
      <xdr:rowOff>182033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592666</xdr:colOff>
      <xdr:row>82</xdr:row>
      <xdr:rowOff>0</xdr:rowOff>
    </xdr:from>
    <xdr:to>
      <xdr:col>35</xdr:col>
      <xdr:colOff>455083</xdr:colOff>
      <xdr:row>95</xdr:row>
      <xdr:rowOff>182033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10583</xdr:colOff>
      <xdr:row>84</xdr:row>
      <xdr:rowOff>84666</xdr:rowOff>
    </xdr:from>
    <xdr:to>
      <xdr:col>34</xdr:col>
      <xdr:colOff>10583</xdr:colOff>
      <xdr:row>94</xdr:row>
      <xdr:rowOff>95250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V="1">
          <a:off x="30671558" y="4449021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596900</xdr:colOff>
      <xdr:row>84</xdr:row>
      <xdr:rowOff>110066</xdr:rowOff>
    </xdr:from>
    <xdr:to>
      <xdr:col>27</xdr:col>
      <xdr:colOff>596900</xdr:colOff>
      <xdr:row>94</xdr:row>
      <xdr:rowOff>120650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V="1">
          <a:off x="25923875" y="4451561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685801</xdr:colOff>
      <xdr:row>84</xdr:row>
      <xdr:rowOff>103716</xdr:rowOff>
    </xdr:from>
    <xdr:to>
      <xdr:col>22</xdr:col>
      <xdr:colOff>685801</xdr:colOff>
      <xdr:row>94</xdr:row>
      <xdr:rowOff>114300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V="1">
          <a:off x="21240751" y="4450926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171451</xdr:colOff>
      <xdr:row>84</xdr:row>
      <xdr:rowOff>86783</xdr:rowOff>
    </xdr:from>
    <xdr:to>
      <xdr:col>17</xdr:col>
      <xdr:colOff>171451</xdr:colOff>
      <xdr:row>94</xdr:row>
      <xdr:rowOff>97367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 flipV="1">
          <a:off x="16544926" y="44492333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541734</xdr:colOff>
      <xdr:row>204</xdr:row>
      <xdr:rowOff>51195</xdr:rowOff>
    </xdr:from>
    <xdr:to>
      <xdr:col>11</xdr:col>
      <xdr:colOff>726281</xdr:colOff>
      <xdr:row>223</xdr:row>
      <xdr:rowOff>71438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B050"/>
  </sheetPr>
  <dimension ref="A1:Y89"/>
  <sheetViews>
    <sheetView zoomScale="90" zoomScaleNormal="90" workbookViewId="0">
      <selection activeCell="G83" sqref="G83"/>
    </sheetView>
  </sheetViews>
  <sheetFormatPr baseColWidth="10" defaultRowHeight="15"/>
  <cols>
    <col min="1" max="5" width="11.42578125" style="1"/>
    <col min="6" max="6" width="16" style="1" customWidth="1"/>
    <col min="7" max="7" width="14.7109375" style="1" bestFit="1" customWidth="1"/>
    <col min="8" max="8" width="14.42578125" style="1" customWidth="1"/>
    <col min="9" max="9" width="14.7109375" style="1" bestFit="1" customWidth="1"/>
    <col min="10" max="10" width="14.85546875" style="1" customWidth="1"/>
    <col min="11" max="15" width="11.42578125" style="1"/>
    <col min="16" max="16" width="19.7109375" style="1" customWidth="1"/>
    <col min="17" max="17" width="11.42578125" style="1"/>
    <col min="18" max="18" width="15" style="1" bestFit="1" customWidth="1"/>
    <col min="19" max="19" width="14.42578125" style="1" customWidth="1"/>
    <col min="20" max="16384" width="11.42578125" style="1"/>
  </cols>
  <sheetData>
    <row r="1" spans="1:15" ht="15" customHeight="1">
      <c r="A1" s="439" t="s">
        <v>0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1"/>
    </row>
    <row r="2" spans="1:15" ht="15" customHeight="1">
      <c r="A2" s="442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4"/>
    </row>
    <row r="3" spans="1:15" ht="15" customHeight="1">
      <c r="A3" s="442"/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4"/>
    </row>
    <row r="4" spans="1:15" ht="15" customHeight="1">
      <c r="A4" s="442"/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4"/>
    </row>
    <row r="5" spans="1:15" ht="15" customHeight="1" thickBot="1">
      <c r="A5" s="445"/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7"/>
    </row>
    <row r="6" spans="1:15">
      <c r="A6" s="184" t="s">
        <v>262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</row>
    <row r="7" spans="1:15" ht="15.75" thickBot="1"/>
    <row r="8" spans="1:15">
      <c r="A8" s="448"/>
      <c r="B8" s="449"/>
      <c r="C8" s="449"/>
      <c r="D8" s="449"/>
      <c r="E8" s="449"/>
      <c r="F8" s="449"/>
      <c r="G8" s="449"/>
      <c r="H8" s="449"/>
      <c r="I8" s="449"/>
      <c r="J8" s="449"/>
      <c r="K8" s="449"/>
      <c r="L8" s="449"/>
      <c r="M8" s="449"/>
      <c r="N8" s="449"/>
      <c r="O8" s="450"/>
    </row>
    <row r="9" spans="1:15" ht="15" customHeight="1">
      <c r="A9" s="451" t="s">
        <v>1</v>
      </c>
      <c r="B9" s="452"/>
      <c r="C9" s="452"/>
      <c r="D9" s="452"/>
      <c r="E9" s="452"/>
      <c r="F9" s="452"/>
      <c r="G9" s="452"/>
      <c r="H9" s="452"/>
      <c r="I9" s="452"/>
      <c r="J9" s="452"/>
      <c r="K9" s="452"/>
      <c r="L9" s="452"/>
      <c r="M9" s="452"/>
      <c r="N9" s="452"/>
      <c r="O9" s="453"/>
    </row>
    <row r="10" spans="1:15" ht="15.75" customHeight="1" thickBot="1">
      <c r="A10" s="454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6"/>
    </row>
    <row r="11" spans="1:15" ht="23.25">
      <c r="A11" s="457" t="s">
        <v>268</v>
      </c>
      <c r="B11" s="458"/>
      <c r="C11" s="458"/>
      <c r="D11" s="458"/>
      <c r="E11" s="458"/>
      <c r="F11" s="458"/>
      <c r="G11" s="458"/>
      <c r="H11" s="458"/>
      <c r="I11" s="458"/>
      <c r="J11" s="458"/>
      <c r="K11" s="458"/>
      <c r="L11" s="458"/>
      <c r="M11" s="458"/>
      <c r="N11" s="458"/>
      <c r="O11" s="458"/>
    </row>
    <row r="12" spans="1:15">
      <c r="A12" s="459" t="s">
        <v>17</v>
      </c>
      <c r="B12" s="460"/>
      <c r="C12" s="460"/>
      <c r="D12" s="460"/>
      <c r="E12" s="460"/>
      <c r="F12" s="460"/>
      <c r="G12" s="460"/>
      <c r="H12" s="460"/>
      <c r="I12" s="460"/>
      <c r="J12" s="460"/>
      <c r="K12" s="460"/>
      <c r="L12" s="460"/>
      <c r="M12" s="460"/>
      <c r="N12" s="460"/>
      <c r="O12" s="460"/>
    </row>
    <row r="13" spans="1:15">
      <c r="A13" s="459" t="s">
        <v>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460"/>
      <c r="N13" s="460"/>
      <c r="O13" s="460"/>
    </row>
    <row r="14" spans="1:15" ht="15.75" thickBot="1">
      <c r="A14" s="461" t="s">
        <v>2</v>
      </c>
      <c r="B14" s="462"/>
      <c r="C14" s="462"/>
      <c r="D14" s="462"/>
      <c r="E14" s="462"/>
      <c r="F14" s="462"/>
      <c r="G14" s="462"/>
      <c r="H14" s="462"/>
      <c r="I14" s="462"/>
      <c r="J14" s="462"/>
      <c r="K14" s="462"/>
      <c r="L14" s="462"/>
      <c r="M14" s="462"/>
      <c r="N14" s="462"/>
      <c r="O14" s="462"/>
    </row>
    <row r="15" spans="1:15" ht="15.75" thickBot="1">
      <c r="A15" s="429" t="s">
        <v>10</v>
      </c>
      <c r="B15" s="429"/>
      <c r="C15" s="429"/>
      <c r="D15" s="429"/>
      <c r="E15" s="429"/>
      <c r="F15" s="18">
        <v>2015</v>
      </c>
      <c r="G15" s="18">
        <v>2016</v>
      </c>
      <c r="H15" s="18">
        <v>2017</v>
      </c>
      <c r="I15" s="18">
        <v>2018</v>
      </c>
      <c r="J15" s="30">
        <v>2019</v>
      </c>
      <c r="K15" s="40">
        <f>F15</f>
        <v>2015</v>
      </c>
      <c r="L15" s="41">
        <f>K15+1</f>
        <v>2016</v>
      </c>
      <c r="M15" s="41">
        <f>L15+1</f>
        <v>2017</v>
      </c>
      <c r="N15" s="41">
        <f>M15+1</f>
        <v>2018</v>
      </c>
      <c r="O15" s="42">
        <f>N15+1</f>
        <v>2019</v>
      </c>
    </row>
    <row r="16" spans="1:15">
      <c r="A16" s="430" t="s">
        <v>11</v>
      </c>
      <c r="B16" s="431"/>
      <c r="C16" s="431"/>
      <c r="D16" s="431"/>
      <c r="E16" s="431"/>
      <c r="F16" s="5"/>
      <c r="G16" s="5"/>
      <c r="H16" s="5"/>
      <c r="I16" s="5"/>
      <c r="J16" s="5"/>
      <c r="K16" s="426" t="s">
        <v>27</v>
      </c>
      <c r="L16" s="427"/>
      <c r="M16" s="427"/>
      <c r="N16" s="427"/>
      <c r="O16" s="428"/>
    </row>
    <row r="17" spans="1:15" ht="15.75">
      <c r="A17" s="432" t="s">
        <v>194</v>
      </c>
      <c r="B17" s="432"/>
      <c r="C17" s="432"/>
      <c r="D17" s="432"/>
      <c r="E17" s="432"/>
      <c r="F17" s="148">
        <v>3103253</v>
      </c>
      <c r="G17" s="148">
        <v>1180062</v>
      </c>
      <c r="H17" s="148">
        <v>807943</v>
      </c>
      <c r="I17" s="148">
        <v>2687829</v>
      </c>
      <c r="J17" s="148">
        <v>2554195</v>
      </c>
      <c r="K17" s="325">
        <f>F17/F$31</f>
        <v>0.11565546574736205</v>
      </c>
      <c r="L17" s="326">
        <f t="shared" ref="L17:L22" si="0">G17/G$31</f>
        <v>6.7151929574756575E-2</v>
      </c>
      <c r="M17" s="326">
        <f t="shared" ref="M17:M22" si="1">H17/H$31</f>
        <v>4.4421343960313546E-2</v>
      </c>
      <c r="N17" s="326">
        <f t="shared" ref="N17:N22" si="2">I17/I$31</f>
        <v>0.1317917522533999</v>
      </c>
      <c r="O17" s="326">
        <f t="shared" ref="O17:O22" si="3">J17/J$31</f>
        <v>0.10457424153126926</v>
      </c>
    </row>
    <row r="18" spans="1:15" ht="15.75">
      <c r="A18" s="432" t="s">
        <v>195</v>
      </c>
      <c r="B18" s="432"/>
      <c r="C18" s="432"/>
      <c r="D18" s="432"/>
      <c r="E18" s="432"/>
      <c r="F18" s="148">
        <v>123118</v>
      </c>
      <c r="G18" s="148">
        <v>3001698</v>
      </c>
      <c r="H18" s="148">
        <v>3464630</v>
      </c>
      <c r="I18" s="148">
        <v>2966552</v>
      </c>
      <c r="J18" s="148">
        <v>3605195</v>
      </c>
      <c r="K18" s="325">
        <f t="shared" ref="K18:K22" si="4">F18/F$31</f>
        <v>4.5884978220866041E-3</v>
      </c>
      <c r="L18" s="326">
        <f t="shared" si="0"/>
        <v>0.17081290025497614</v>
      </c>
      <c r="M18" s="326">
        <f t="shared" si="1"/>
        <v>0.19048809250803722</v>
      </c>
      <c r="N18" s="326">
        <f t="shared" si="2"/>
        <v>0.14545831830478351</v>
      </c>
      <c r="O18" s="326">
        <f t="shared" si="3"/>
        <v>0.14760444394313052</v>
      </c>
    </row>
    <row r="19" spans="1:15" ht="15.75">
      <c r="A19" s="432" t="s">
        <v>196</v>
      </c>
      <c r="B19" s="432"/>
      <c r="C19" s="432"/>
      <c r="D19" s="432"/>
      <c r="E19" s="432"/>
      <c r="F19" s="148">
        <v>14421502</v>
      </c>
      <c r="G19" s="148">
        <v>5024392</v>
      </c>
      <c r="H19" s="148">
        <v>4818344</v>
      </c>
      <c r="I19" s="148">
        <v>7030714</v>
      </c>
      <c r="J19" s="148">
        <v>7468543</v>
      </c>
      <c r="K19" s="325">
        <f t="shared" si="4"/>
        <v>0.53747649018191979</v>
      </c>
      <c r="L19" s="326">
        <f t="shared" si="0"/>
        <v>0.28591516186435145</v>
      </c>
      <c r="M19" s="326">
        <f t="shared" si="1"/>
        <v>0.26491635690031723</v>
      </c>
      <c r="N19" s="326">
        <f t="shared" si="2"/>
        <v>0.34473551615542136</v>
      </c>
      <c r="O19" s="326">
        <f t="shared" si="3"/>
        <v>0.30577822741359617</v>
      </c>
    </row>
    <row r="20" spans="1:15" ht="15.75">
      <c r="A20" s="432" t="s">
        <v>197</v>
      </c>
      <c r="B20" s="432"/>
      <c r="C20" s="432"/>
      <c r="D20" s="432"/>
      <c r="E20" s="432"/>
      <c r="F20" s="148">
        <v>4618740</v>
      </c>
      <c r="G20" s="148">
        <v>5719287</v>
      </c>
      <c r="H20" s="148">
        <v>6520213</v>
      </c>
      <c r="I20" s="148">
        <v>5035879</v>
      </c>
      <c r="J20" s="148">
        <v>7698465</v>
      </c>
      <c r="K20" s="325">
        <f t="shared" si="4"/>
        <v>0.17213631175607369</v>
      </c>
      <c r="L20" s="326">
        <f t="shared" si="0"/>
        <v>0.32545845713345639</v>
      </c>
      <c r="M20" s="326">
        <f t="shared" si="1"/>
        <v>0.35848645803912882</v>
      </c>
      <c r="N20" s="326">
        <f t="shared" si="2"/>
        <v>0.24692319248958886</v>
      </c>
      <c r="O20" s="326">
        <f t="shared" si="3"/>
        <v>0.31519172903009474</v>
      </c>
    </row>
    <row r="21" spans="1:15" ht="15.75">
      <c r="A21" s="432" t="s">
        <v>198</v>
      </c>
      <c r="B21" s="432"/>
      <c r="C21" s="432"/>
      <c r="D21" s="432"/>
      <c r="E21" s="432"/>
      <c r="F21" s="148">
        <v>2022913</v>
      </c>
      <c r="G21" s="148">
        <v>25801</v>
      </c>
      <c r="H21" s="148">
        <v>11885</v>
      </c>
      <c r="I21" s="148">
        <v>10402</v>
      </c>
      <c r="J21" s="148">
        <v>54294</v>
      </c>
      <c r="K21" s="325">
        <f t="shared" si="4"/>
        <v>7.5392159511774706E-2</v>
      </c>
      <c r="L21" s="326">
        <f t="shared" si="0"/>
        <v>1.4682168690783148E-3</v>
      </c>
      <c r="M21" s="326">
        <f t="shared" si="1"/>
        <v>6.5344668246191436E-4</v>
      </c>
      <c r="N21" s="326">
        <f t="shared" si="2"/>
        <v>5.1003907128759518E-4</v>
      </c>
      <c r="O21" s="326">
        <f t="shared" si="3"/>
        <v>2.2229132347760189E-3</v>
      </c>
    </row>
    <row r="22" spans="1:15">
      <c r="A22" s="463" t="s">
        <v>199</v>
      </c>
      <c r="B22" s="463"/>
      <c r="C22" s="463"/>
      <c r="D22" s="463"/>
      <c r="E22" s="463"/>
      <c r="F22" s="9">
        <f>SUM(F17:F21)</f>
        <v>24289526</v>
      </c>
      <c r="G22" s="9">
        <f>SUM(G17:G21)</f>
        <v>14951240</v>
      </c>
      <c r="H22" s="9">
        <f>SUM(H17:H21)</f>
        <v>15623015</v>
      </c>
      <c r="I22" s="9">
        <f>SUM(I17:I21)</f>
        <v>17731376</v>
      </c>
      <c r="J22" s="9">
        <f>SUM(J17:J21)</f>
        <v>21380692</v>
      </c>
      <c r="K22" s="146">
        <f t="shared" si="4"/>
        <v>0.90524892501921683</v>
      </c>
      <c r="L22" s="16">
        <f t="shared" si="0"/>
        <v>0.85080666569661889</v>
      </c>
      <c r="M22" s="16">
        <f t="shared" si="1"/>
        <v>0.8589656980902588</v>
      </c>
      <c r="N22" s="16">
        <f t="shared" si="2"/>
        <v>0.8694188182744812</v>
      </c>
      <c r="O22" s="16">
        <f t="shared" si="3"/>
        <v>0.87537155515286669</v>
      </c>
    </row>
    <row r="23" spans="1:15">
      <c r="A23" s="464" t="s">
        <v>12</v>
      </c>
      <c r="B23" s="465"/>
      <c r="C23" s="465"/>
      <c r="D23" s="465"/>
      <c r="E23" s="465"/>
      <c r="F23" s="5"/>
      <c r="G23" s="5"/>
      <c r="H23" s="5"/>
      <c r="I23" s="5"/>
      <c r="J23" s="6"/>
      <c r="K23" s="5"/>
      <c r="L23" s="5"/>
      <c r="M23" s="6"/>
      <c r="N23" s="5"/>
      <c r="O23" s="6"/>
    </row>
    <row r="24" spans="1:15" ht="15.75">
      <c r="A24" s="433" t="s">
        <v>195</v>
      </c>
      <c r="B24" s="434"/>
      <c r="C24" s="434"/>
      <c r="D24" s="434"/>
      <c r="E24" s="435"/>
      <c r="F24" s="148">
        <v>0</v>
      </c>
      <c r="G24" s="148">
        <v>0</v>
      </c>
      <c r="H24" s="148">
        <v>0</v>
      </c>
      <c r="I24" s="148">
        <v>0</v>
      </c>
      <c r="J24" s="148">
        <v>0</v>
      </c>
      <c r="K24" s="15">
        <f t="shared" ref="K24:K29" si="5">F24/F$31</f>
        <v>0</v>
      </c>
      <c r="L24" s="15">
        <f t="shared" ref="L24:L29" si="6">G24/G$31</f>
        <v>0</v>
      </c>
      <c r="M24" s="15">
        <f t="shared" ref="M24:M29" si="7">H24/H$31</f>
        <v>0</v>
      </c>
      <c r="N24" s="15">
        <f t="shared" ref="N24:N29" si="8">I24/I$31</f>
        <v>0</v>
      </c>
      <c r="O24" s="15">
        <f t="shared" ref="O24:O29" si="9">J24/J$31</f>
        <v>0</v>
      </c>
    </row>
    <row r="25" spans="1:15" ht="15.75">
      <c r="A25" s="432" t="s">
        <v>200</v>
      </c>
      <c r="B25" s="432"/>
      <c r="C25" s="432"/>
      <c r="D25" s="432"/>
      <c r="E25" s="432"/>
      <c r="F25" s="148">
        <v>0</v>
      </c>
      <c r="G25" s="148">
        <v>0</v>
      </c>
      <c r="H25" s="148">
        <v>0</v>
      </c>
      <c r="I25" s="148">
        <v>0</v>
      </c>
      <c r="J25" s="148">
        <v>0</v>
      </c>
      <c r="K25" s="15">
        <f t="shared" si="5"/>
        <v>0</v>
      </c>
      <c r="L25" s="15">
        <f t="shared" si="6"/>
        <v>0</v>
      </c>
      <c r="M25" s="15">
        <f t="shared" si="7"/>
        <v>0</v>
      </c>
      <c r="N25" s="15">
        <f t="shared" si="8"/>
        <v>0</v>
      </c>
      <c r="O25" s="15">
        <f t="shared" si="9"/>
        <v>0</v>
      </c>
    </row>
    <row r="26" spans="1:15" ht="15.75">
      <c r="A26" s="432" t="s">
        <v>201</v>
      </c>
      <c r="B26" s="432"/>
      <c r="C26" s="432"/>
      <c r="D26" s="432"/>
      <c r="E26" s="432"/>
      <c r="F26" s="148">
        <v>2026164</v>
      </c>
      <c r="G26" s="148">
        <v>2015598</v>
      </c>
      <c r="H26" s="148">
        <v>1674573</v>
      </c>
      <c r="I26" s="148">
        <v>1860558</v>
      </c>
      <c r="J26" s="148">
        <v>2257287</v>
      </c>
      <c r="K26" s="15">
        <f t="shared" si="5"/>
        <v>7.5513321376161749E-2</v>
      </c>
      <c r="L26" s="15">
        <f t="shared" si="6"/>
        <v>0.11469846071394571</v>
      </c>
      <c r="M26" s="15">
        <f t="shared" si="7"/>
        <v>9.2069345510331968E-2</v>
      </c>
      <c r="N26" s="15">
        <f t="shared" si="8"/>
        <v>9.1228347855864783E-2</v>
      </c>
      <c r="O26" s="15">
        <f t="shared" si="9"/>
        <v>9.2418188878842136E-2</v>
      </c>
    </row>
    <row r="27" spans="1:15" ht="15.75">
      <c r="A27" s="432" t="s">
        <v>202</v>
      </c>
      <c r="B27" s="432"/>
      <c r="C27" s="432"/>
      <c r="D27" s="432"/>
      <c r="E27" s="432"/>
      <c r="F27" s="148">
        <v>15755</v>
      </c>
      <c r="G27" s="148">
        <v>11055</v>
      </c>
      <c r="H27" s="148">
        <v>22491</v>
      </c>
      <c r="I27" s="148">
        <v>30573</v>
      </c>
      <c r="J27" s="148">
        <v>18414</v>
      </c>
      <c r="K27" s="15">
        <f t="shared" si="5"/>
        <v>5.8717476881507539E-4</v>
      </c>
      <c r="L27" s="15">
        <f t="shared" si="6"/>
        <v>6.2908947279798337E-4</v>
      </c>
      <c r="M27" s="15">
        <f t="shared" si="7"/>
        <v>1.2365729352335647E-3</v>
      </c>
      <c r="N27" s="15">
        <f t="shared" si="8"/>
        <v>1.4990794584191162E-3</v>
      </c>
      <c r="O27" s="15">
        <f t="shared" si="9"/>
        <v>7.5390879848907084E-4</v>
      </c>
    </row>
    <row r="28" spans="1:15" ht="15.75">
      <c r="A28" s="432" t="s">
        <v>203</v>
      </c>
      <c r="B28" s="432"/>
      <c r="C28" s="432"/>
      <c r="D28" s="432"/>
      <c r="E28" s="432"/>
      <c r="F28" s="148">
        <v>500430</v>
      </c>
      <c r="G28" s="148">
        <v>595124</v>
      </c>
      <c r="H28" s="148">
        <v>868092</v>
      </c>
      <c r="I28" s="148">
        <v>772009</v>
      </c>
      <c r="J28" s="148">
        <v>768312</v>
      </c>
      <c r="K28" s="15">
        <f t="shared" si="5"/>
        <v>1.8650578835806293E-2</v>
      </c>
      <c r="L28" s="15">
        <f t="shared" si="6"/>
        <v>3.386578411663746E-2</v>
      </c>
      <c r="M28" s="15">
        <f t="shared" si="7"/>
        <v>4.7728383464175697E-2</v>
      </c>
      <c r="N28" s="15">
        <f t="shared" si="8"/>
        <v>3.7853754411234862E-2</v>
      </c>
      <c r="O28" s="15">
        <f t="shared" si="9"/>
        <v>3.145634716980205E-2</v>
      </c>
    </row>
    <row r="29" spans="1:15">
      <c r="A29" s="432" t="s">
        <v>204</v>
      </c>
      <c r="B29" s="432"/>
      <c r="C29" s="432"/>
      <c r="D29" s="432"/>
      <c r="E29" s="432"/>
      <c r="F29" s="9">
        <f>SUM(F24:F28)</f>
        <v>2542349</v>
      </c>
      <c r="G29" s="9">
        <f>SUM(G24:G28)</f>
        <v>2621777</v>
      </c>
      <c r="H29" s="9">
        <f>SUM(H24:H28)</f>
        <v>2565156</v>
      </c>
      <c r="I29" s="9">
        <f>SUM(I24:I28)</f>
        <v>2663140</v>
      </c>
      <c r="J29" s="9">
        <f>SUM(J24:J28)</f>
        <v>3044013</v>
      </c>
      <c r="K29" s="146">
        <f t="shared" si="5"/>
        <v>9.4751074980783112E-2</v>
      </c>
      <c r="L29" s="16">
        <f t="shared" si="6"/>
        <v>0.14919333430338114</v>
      </c>
      <c r="M29" s="16">
        <f t="shared" si="7"/>
        <v>0.14103430190974123</v>
      </c>
      <c r="N29" s="16">
        <f t="shared" si="8"/>
        <v>0.13058118172551877</v>
      </c>
      <c r="O29" s="16">
        <f t="shared" si="9"/>
        <v>0.12462844484713326</v>
      </c>
    </row>
    <row r="30" spans="1:15">
      <c r="A30" s="7"/>
      <c r="B30" s="7"/>
      <c r="C30" s="7"/>
      <c r="D30" s="7"/>
      <c r="E30" s="7"/>
      <c r="F30" s="2"/>
      <c r="G30" s="2"/>
      <c r="H30" s="2"/>
      <c r="I30" s="2"/>
      <c r="J30" s="2"/>
    </row>
    <row r="31" spans="1:15">
      <c r="A31" s="436" t="s">
        <v>4</v>
      </c>
      <c r="B31" s="436"/>
      <c r="C31" s="436"/>
      <c r="D31" s="436"/>
      <c r="E31" s="436"/>
      <c r="F31" s="11">
        <f>F22+F29</f>
        <v>26831875</v>
      </c>
      <c r="G31" s="11">
        <f>G22+G29</f>
        <v>17573017</v>
      </c>
      <c r="H31" s="11">
        <f>H22+H29</f>
        <v>18188171</v>
      </c>
      <c r="I31" s="11">
        <f>I22+I29</f>
        <v>20394516</v>
      </c>
      <c r="J31" s="11">
        <f>J22+J29</f>
        <v>24424705</v>
      </c>
    </row>
    <row r="32" spans="1:15">
      <c r="A32" s="3"/>
    </row>
    <row r="33" spans="1:16">
      <c r="A33" s="464" t="s">
        <v>13</v>
      </c>
      <c r="B33" s="465"/>
      <c r="C33" s="465"/>
      <c r="D33" s="465"/>
      <c r="E33" s="465"/>
      <c r="F33" s="5"/>
      <c r="G33" s="5"/>
      <c r="H33" s="5"/>
      <c r="I33" s="5"/>
      <c r="J33" s="6"/>
    </row>
    <row r="34" spans="1:16" ht="15.75">
      <c r="A34" s="432" t="s">
        <v>205</v>
      </c>
      <c r="B34" s="432"/>
      <c r="C34" s="432"/>
      <c r="D34" s="432"/>
      <c r="E34" s="432"/>
      <c r="F34" s="148">
        <v>5471054</v>
      </c>
      <c r="G34" s="148">
        <v>5323898</v>
      </c>
      <c r="H34" s="148">
        <v>4784801</v>
      </c>
      <c r="I34" s="148">
        <v>2204331</v>
      </c>
      <c r="J34" s="148">
        <v>1950000</v>
      </c>
      <c r="K34" s="147">
        <f>F34/F$46</f>
        <v>0.54301411445604242</v>
      </c>
      <c r="L34" s="15">
        <f t="shared" ref="L34:L39" si="10">G34/G$46</f>
        <v>0.57336325562841561</v>
      </c>
      <c r="M34" s="15">
        <f t="shared" ref="M34:M39" si="11">H34/H$46</f>
        <v>0.5031009022651417</v>
      </c>
      <c r="N34" s="15">
        <f t="shared" ref="N34:N39" si="12">I34/I$46</f>
        <v>0.20531157407114189</v>
      </c>
      <c r="O34" s="15">
        <f t="shared" ref="O34:O39" si="13">J34/J$46</f>
        <v>0.15972777799575386</v>
      </c>
    </row>
    <row r="35" spans="1:16" ht="15.75">
      <c r="A35" s="432" t="s">
        <v>206</v>
      </c>
      <c r="B35" s="432"/>
      <c r="C35" s="432"/>
      <c r="D35" s="432"/>
      <c r="E35" s="432"/>
      <c r="F35" s="148">
        <v>4150120</v>
      </c>
      <c r="G35" s="148">
        <v>3690546</v>
      </c>
      <c r="H35" s="148">
        <v>4623497</v>
      </c>
      <c r="I35" s="148">
        <v>8431694</v>
      </c>
      <c r="J35" s="148">
        <v>8777872</v>
      </c>
      <c r="K35" s="147">
        <f t="shared" ref="K35:K39" si="14">F35/F$46</f>
        <v>0.4119085164734822</v>
      </c>
      <c r="L35" s="15">
        <f t="shared" si="10"/>
        <v>0.39745755264402638</v>
      </c>
      <c r="M35" s="15">
        <f t="shared" si="11"/>
        <v>0.48614049201213927</v>
      </c>
      <c r="N35" s="15">
        <f t="shared" si="12"/>
        <v>0.78532868576733827</v>
      </c>
      <c r="O35" s="15">
        <f t="shared" si="13"/>
        <v>0.71901025132879182</v>
      </c>
    </row>
    <row r="36" spans="1:16" ht="15.75">
      <c r="A36" s="432" t="s">
        <v>207</v>
      </c>
      <c r="B36" s="432"/>
      <c r="C36" s="432"/>
      <c r="D36" s="432"/>
      <c r="E36" s="432"/>
      <c r="F36" s="148"/>
      <c r="G36" s="148"/>
      <c r="H36" s="148"/>
      <c r="I36" s="148"/>
      <c r="J36" s="148"/>
      <c r="K36" s="147">
        <f t="shared" si="14"/>
        <v>0</v>
      </c>
      <c r="L36" s="15">
        <f t="shared" si="10"/>
        <v>0</v>
      </c>
      <c r="M36" s="15">
        <f t="shared" si="11"/>
        <v>0</v>
      </c>
      <c r="N36" s="15">
        <f t="shared" si="12"/>
        <v>0</v>
      </c>
      <c r="O36" s="15">
        <f t="shared" si="13"/>
        <v>0</v>
      </c>
      <c r="P36" s="43"/>
    </row>
    <row r="37" spans="1:16" ht="15.75">
      <c r="A37" s="432" t="s">
        <v>208</v>
      </c>
      <c r="B37" s="432"/>
      <c r="C37" s="432"/>
      <c r="D37" s="432"/>
      <c r="E37" s="432"/>
      <c r="F37" s="148">
        <v>454170</v>
      </c>
      <c r="G37" s="148">
        <v>270940</v>
      </c>
      <c r="H37" s="148">
        <v>102321</v>
      </c>
      <c r="I37" s="148">
        <v>100491</v>
      </c>
      <c r="J37" s="148">
        <v>193963</v>
      </c>
      <c r="K37" s="147">
        <f t="shared" si="14"/>
        <v>4.5077369070475409E-2</v>
      </c>
      <c r="L37" s="15">
        <f t="shared" si="10"/>
        <v>2.9179191727558063E-2</v>
      </c>
      <c r="M37" s="15">
        <f t="shared" si="11"/>
        <v>1.0758605722718995E-2</v>
      </c>
      <c r="N37" s="15">
        <f t="shared" si="12"/>
        <v>9.359740161519808E-3</v>
      </c>
      <c r="O37" s="15">
        <f t="shared" si="13"/>
        <v>1.5887835386354056E-2</v>
      </c>
    </row>
    <row r="38" spans="1:16" ht="15.75">
      <c r="A38" s="432" t="s">
        <v>209</v>
      </c>
      <c r="B38" s="432"/>
      <c r="C38" s="432"/>
      <c r="D38" s="432"/>
      <c r="E38" s="432"/>
      <c r="F38" s="148"/>
      <c r="G38" s="148"/>
      <c r="H38" s="148"/>
      <c r="I38" s="148"/>
      <c r="J38" s="148">
        <v>1286436</v>
      </c>
      <c r="K38" s="147">
        <f t="shared" si="14"/>
        <v>0</v>
      </c>
      <c r="L38" s="15">
        <f t="shared" si="10"/>
        <v>0</v>
      </c>
      <c r="M38" s="15">
        <f t="shared" si="11"/>
        <v>0</v>
      </c>
      <c r="N38" s="15">
        <f t="shared" si="12"/>
        <v>0</v>
      </c>
      <c r="O38" s="15">
        <f t="shared" si="13"/>
        <v>0.10537413528910032</v>
      </c>
    </row>
    <row r="39" spans="1:16">
      <c r="A39" s="432" t="s">
        <v>5</v>
      </c>
      <c r="B39" s="432"/>
      <c r="C39" s="432"/>
      <c r="D39" s="432"/>
      <c r="E39" s="432"/>
      <c r="F39" s="9">
        <f>SUM(F34:F38)</f>
        <v>10075344</v>
      </c>
      <c r="G39" s="9">
        <f>SUM(G34:G38)</f>
        <v>9285384</v>
      </c>
      <c r="H39" s="9">
        <f>SUM(H34:H38)</f>
        <v>9510619</v>
      </c>
      <c r="I39" s="9">
        <f>SUM(I34:I38)</f>
        <v>10736516</v>
      </c>
      <c r="J39" s="9">
        <f>SUM(J34:J38)</f>
        <v>12208271</v>
      </c>
      <c r="K39" s="146">
        <f t="shared" si="14"/>
        <v>1</v>
      </c>
      <c r="L39" s="16">
        <f t="shared" si="10"/>
        <v>1</v>
      </c>
      <c r="M39" s="16">
        <f t="shared" si="11"/>
        <v>1</v>
      </c>
      <c r="N39" s="16">
        <f t="shared" si="12"/>
        <v>1</v>
      </c>
      <c r="O39" s="16">
        <f t="shared" si="13"/>
        <v>1</v>
      </c>
    </row>
    <row r="40" spans="1:16">
      <c r="A40" s="464" t="s">
        <v>14</v>
      </c>
      <c r="B40" s="465"/>
      <c r="C40" s="465"/>
      <c r="D40" s="465"/>
      <c r="E40" s="465"/>
      <c r="F40" s="5"/>
      <c r="G40" s="5"/>
      <c r="H40" s="5"/>
      <c r="I40" s="5"/>
      <c r="J40" s="6"/>
      <c r="K40" s="5"/>
      <c r="L40" s="5"/>
      <c r="M40" s="5"/>
      <c r="N40" s="5"/>
      <c r="O40" s="6"/>
    </row>
    <row r="41" spans="1:16" ht="15.75">
      <c r="A41" s="432" t="s">
        <v>205</v>
      </c>
      <c r="B41" s="432"/>
      <c r="C41" s="432"/>
      <c r="D41" s="432"/>
      <c r="E41" s="432"/>
      <c r="F41" s="148">
        <v>0</v>
      </c>
      <c r="G41" s="148">
        <v>0</v>
      </c>
      <c r="H41" s="148">
        <v>0</v>
      </c>
      <c r="I41" s="148">
        <v>0</v>
      </c>
      <c r="J41" s="148">
        <v>0</v>
      </c>
      <c r="K41" s="147">
        <f t="shared" ref="K41:K44" si="15">F41/F$46</f>
        <v>0</v>
      </c>
      <c r="L41" s="15">
        <f t="shared" ref="L41:L44" si="16">G41/G$46</f>
        <v>0</v>
      </c>
      <c r="M41" s="15">
        <f t="shared" ref="M41:M44" si="17">H41/H$46</f>
        <v>0</v>
      </c>
      <c r="N41" s="15">
        <f t="shared" ref="N41:N44" si="18">I41/I$46</f>
        <v>0</v>
      </c>
      <c r="O41" s="15">
        <f t="shared" ref="O41:O44" si="19">J41/J$46</f>
        <v>0</v>
      </c>
    </row>
    <row r="42" spans="1:16" ht="15.75">
      <c r="A42" s="432" t="s">
        <v>210</v>
      </c>
      <c r="B42" s="432"/>
      <c r="C42" s="432"/>
      <c r="D42" s="432"/>
      <c r="E42" s="432"/>
      <c r="F42" s="148">
        <v>0</v>
      </c>
      <c r="G42" s="148">
        <v>0</v>
      </c>
      <c r="H42" s="148">
        <v>0</v>
      </c>
      <c r="I42" s="148">
        <v>0</v>
      </c>
      <c r="J42" s="148">
        <v>0</v>
      </c>
      <c r="K42" s="147">
        <f t="shared" si="15"/>
        <v>0</v>
      </c>
      <c r="L42" s="15">
        <f t="shared" si="16"/>
        <v>0</v>
      </c>
      <c r="M42" s="15">
        <f t="shared" si="17"/>
        <v>0</v>
      </c>
      <c r="N42" s="15">
        <f t="shared" si="18"/>
        <v>0</v>
      </c>
      <c r="O42" s="15">
        <f t="shared" si="19"/>
        <v>0</v>
      </c>
    </row>
    <row r="43" spans="1:16" ht="15.75">
      <c r="A43" s="432" t="s">
        <v>209</v>
      </c>
      <c r="B43" s="432"/>
      <c r="C43" s="432"/>
      <c r="D43" s="432"/>
      <c r="E43" s="432"/>
      <c r="F43" s="148">
        <v>0</v>
      </c>
      <c r="G43" s="148">
        <v>0</v>
      </c>
      <c r="H43" s="148">
        <v>0</v>
      </c>
      <c r="I43" s="148">
        <v>0</v>
      </c>
      <c r="J43" s="148">
        <v>0</v>
      </c>
      <c r="K43" s="147">
        <f t="shared" si="15"/>
        <v>0</v>
      </c>
      <c r="L43" s="15">
        <f t="shared" si="16"/>
        <v>0</v>
      </c>
      <c r="M43" s="15">
        <f t="shared" si="17"/>
        <v>0</v>
      </c>
      <c r="N43" s="15">
        <f t="shared" si="18"/>
        <v>0</v>
      </c>
      <c r="O43" s="15">
        <f t="shared" si="19"/>
        <v>0</v>
      </c>
    </row>
    <row r="44" spans="1:16">
      <c r="A44" s="432" t="s">
        <v>6</v>
      </c>
      <c r="B44" s="432"/>
      <c r="C44" s="432"/>
      <c r="D44" s="432"/>
      <c r="E44" s="432"/>
      <c r="F44" s="9">
        <f>SUM(F41:F43)</f>
        <v>0</v>
      </c>
      <c r="G44" s="9">
        <f>SUM(G41:G43)</f>
        <v>0</v>
      </c>
      <c r="H44" s="9">
        <f>SUM(H41:H43)</f>
        <v>0</v>
      </c>
      <c r="I44" s="9">
        <f>SUM(I41:I43)</f>
        <v>0</v>
      </c>
      <c r="J44" s="9">
        <f>SUM(J41:J43)</f>
        <v>0</v>
      </c>
      <c r="K44" s="16">
        <f t="shared" si="15"/>
        <v>0</v>
      </c>
      <c r="L44" s="16">
        <f t="shared" si="16"/>
        <v>0</v>
      </c>
      <c r="M44" s="16">
        <f t="shared" si="17"/>
        <v>0</v>
      </c>
      <c r="N44" s="16">
        <f t="shared" si="18"/>
        <v>0</v>
      </c>
      <c r="O44" s="16">
        <f t="shared" si="19"/>
        <v>0</v>
      </c>
    </row>
    <row r="45" spans="1:16">
      <c r="A45" s="3"/>
      <c r="B45" s="3"/>
      <c r="C45" s="3"/>
      <c r="D45" s="3"/>
      <c r="E45" s="3"/>
    </row>
    <row r="46" spans="1:16">
      <c r="A46" s="436" t="s">
        <v>7</v>
      </c>
      <c r="B46" s="436"/>
      <c r="C46" s="436"/>
      <c r="D46" s="436"/>
      <c r="E46" s="436"/>
      <c r="F46" s="11">
        <f>F39+F44</f>
        <v>10075344</v>
      </c>
      <c r="G46" s="11">
        <f>G39+G44</f>
        <v>9285384</v>
      </c>
      <c r="H46" s="11">
        <f>H39+H44</f>
        <v>9510619</v>
      </c>
      <c r="I46" s="11">
        <f>I39+I44</f>
        <v>10736516</v>
      </c>
      <c r="J46" s="11">
        <f>J39+J44</f>
        <v>12208271</v>
      </c>
    </row>
    <row r="47" spans="1:16">
      <c r="A47" s="3"/>
    </row>
    <row r="48" spans="1:16">
      <c r="A48" s="464" t="s">
        <v>15</v>
      </c>
      <c r="B48" s="465"/>
      <c r="C48" s="465"/>
      <c r="D48" s="465"/>
      <c r="E48" s="465"/>
      <c r="F48" s="5"/>
      <c r="G48" s="5"/>
      <c r="H48" s="5"/>
      <c r="I48" s="5"/>
      <c r="J48" s="6"/>
      <c r="K48" s="5"/>
      <c r="L48" s="5"/>
      <c r="M48" s="5"/>
      <c r="N48" s="5"/>
      <c r="O48" s="6"/>
    </row>
    <row r="49" spans="1:22" ht="15.75">
      <c r="A49" s="432" t="s">
        <v>211</v>
      </c>
      <c r="B49" s="432"/>
      <c r="C49" s="432"/>
      <c r="D49" s="432"/>
      <c r="E49" s="432"/>
      <c r="F49" s="148">
        <v>1405500</v>
      </c>
      <c r="G49" s="148">
        <v>1405500</v>
      </c>
      <c r="H49" s="148">
        <v>1405500</v>
      </c>
      <c r="I49" s="148">
        <v>1405500</v>
      </c>
      <c r="J49" s="148">
        <v>1405500</v>
      </c>
      <c r="K49" s="147">
        <f>F49/F$53</f>
        <v>8.387774295288207E-2</v>
      </c>
      <c r="L49" s="15">
        <f t="shared" ref="L49:L53" si="20">G49/G$53</f>
        <v>0.16959003855503738</v>
      </c>
      <c r="M49" s="15">
        <f t="shared" ref="M49:M53" si="21">H49/H$53</f>
        <v>0.16196964305140435</v>
      </c>
      <c r="N49" s="15">
        <f t="shared" ref="N49:N53" si="22">I49/I$53</f>
        <v>0.14552702422861877</v>
      </c>
      <c r="O49" s="15">
        <f t="shared" ref="O49:O53" si="23">J49/J$53</f>
        <v>0.11504994010527131</v>
      </c>
    </row>
    <row r="50" spans="1:22" ht="15.75">
      <c r="A50" s="432" t="s">
        <v>212</v>
      </c>
      <c r="B50" s="432"/>
      <c r="C50" s="432"/>
      <c r="D50" s="432"/>
      <c r="E50" s="432"/>
      <c r="F50" s="148"/>
      <c r="G50" s="148"/>
      <c r="H50" s="148"/>
      <c r="I50" s="148"/>
      <c r="J50" s="148">
        <v>391380</v>
      </c>
      <c r="K50" s="147">
        <f t="shared" ref="K50:K53" si="24">F50/F$53</f>
        <v>0</v>
      </c>
      <c r="L50" s="15">
        <f t="shared" si="20"/>
        <v>0</v>
      </c>
      <c r="M50" s="15">
        <f t="shared" si="21"/>
        <v>0</v>
      </c>
      <c r="N50" s="15">
        <f t="shared" si="22"/>
        <v>0</v>
      </c>
      <c r="O50" s="15">
        <f t="shared" si="23"/>
        <v>3.2037172222270427E-2</v>
      </c>
    </row>
    <row r="51" spans="1:22" ht="15.75">
      <c r="A51" s="432" t="s">
        <v>213</v>
      </c>
      <c r="B51" s="432"/>
      <c r="C51" s="432"/>
      <c r="D51" s="432"/>
      <c r="E51" s="432"/>
      <c r="F51" s="148">
        <v>683048</v>
      </c>
      <c r="G51" s="148">
        <v>683048</v>
      </c>
      <c r="H51" s="148">
        <v>683048</v>
      </c>
      <c r="I51" s="148">
        <v>428717</v>
      </c>
      <c r="J51" s="148">
        <v>683048</v>
      </c>
      <c r="K51" s="147">
        <f t="shared" si="24"/>
        <v>4.0763091119516322E-2</v>
      </c>
      <c r="L51" s="15">
        <f t="shared" si="20"/>
        <v>8.2417742194906551E-2</v>
      </c>
      <c r="M51" s="15">
        <f t="shared" si="21"/>
        <v>7.8714365526129954E-2</v>
      </c>
      <c r="N51" s="15">
        <f t="shared" si="22"/>
        <v>4.438983226340857E-2</v>
      </c>
      <c r="O51" s="15">
        <f t="shared" si="23"/>
        <v>5.5912224467467346E-2</v>
      </c>
    </row>
    <row r="52" spans="1:22" ht="15.75">
      <c r="A52" s="432" t="s">
        <v>214</v>
      </c>
      <c r="B52" s="432"/>
      <c r="C52" s="432"/>
      <c r="D52" s="432"/>
      <c r="E52" s="432"/>
      <c r="F52" s="148">
        <v>14667983</v>
      </c>
      <c r="G52" s="148">
        <v>6199085</v>
      </c>
      <c r="H52" s="148">
        <v>6589004</v>
      </c>
      <c r="I52" s="148">
        <v>7823783</v>
      </c>
      <c r="J52" s="148">
        <v>9736506</v>
      </c>
      <c r="K52" s="147">
        <f t="shared" si="24"/>
        <v>0.87535916592760166</v>
      </c>
      <c r="L52" s="15">
        <f t="shared" si="20"/>
        <v>0.7479922192500561</v>
      </c>
      <c r="M52" s="15">
        <f t="shared" si="21"/>
        <v>0.75931599142246564</v>
      </c>
      <c r="N52" s="15">
        <f t="shared" si="22"/>
        <v>0.81008314350797261</v>
      </c>
      <c r="O52" s="15">
        <f t="shared" si="23"/>
        <v>0.79700066320499097</v>
      </c>
    </row>
    <row r="53" spans="1:22">
      <c r="A53" s="432" t="s">
        <v>8</v>
      </c>
      <c r="B53" s="432"/>
      <c r="C53" s="432"/>
      <c r="D53" s="432"/>
      <c r="E53" s="432"/>
      <c r="F53" s="9">
        <f>SUM(F49:F52)</f>
        <v>16756531</v>
      </c>
      <c r="G53" s="9">
        <f>SUM(G49:G52)</f>
        <v>8287633</v>
      </c>
      <c r="H53" s="9">
        <f>SUM(H49:H52)</f>
        <v>8677552</v>
      </c>
      <c r="I53" s="9">
        <f>SUM(I49:I52)</f>
        <v>9658000</v>
      </c>
      <c r="J53" s="9">
        <f>SUM(J49:J52)</f>
        <v>12216434</v>
      </c>
      <c r="K53" s="146">
        <f t="shared" si="24"/>
        <v>1</v>
      </c>
      <c r="L53" s="16">
        <f t="shared" si="20"/>
        <v>1</v>
      </c>
      <c r="M53" s="16">
        <f t="shared" si="21"/>
        <v>1</v>
      </c>
      <c r="N53" s="16">
        <f t="shared" si="22"/>
        <v>1</v>
      </c>
      <c r="O53" s="16">
        <f t="shared" si="23"/>
        <v>1</v>
      </c>
    </row>
    <row r="54" spans="1:22">
      <c r="A54" s="7"/>
      <c r="B54" s="7"/>
      <c r="C54" s="7"/>
      <c r="D54" s="7"/>
      <c r="E54" s="7"/>
      <c r="F54" s="2"/>
      <c r="G54" s="2"/>
      <c r="H54" s="2"/>
      <c r="I54" s="2"/>
      <c r="J54" s="2"/>
    </row>
    <row r="55" spans="1:22">
      <c r="A55" s="436" t="s">
        <v>9</v>
      </c>
      <c r="B55" s="436"/>
      <c r="C55" s="436"/>
      <c r="D55" s="436"/>
      <c r="E55" s="436"/>
      <c r="F55" s="11">
        <f>F46+F53</f>
        <v>26831875</v>
      </c>
      <c r="G55" s="11">
        <f>G46+G53</f>
        <v>17573017</v>
      </c>
      <c r="H55" s="11">
        <f>H46+H53</f>
        <v>18188171</v>
      </c>
      <c r="I55" s="11">
        <f>I46+I53</f>
        <v>20394516</v>
      </c>
      <c r="J55" s="11">
        <f>J46+J53</f>
        <v>24424705</v>
      </c>
    </row>
    <row r="57" spans="1:22" ht="15.75">
      <c r="A57" s="466" t="s">
        <v>16</v>
      </c>
      <c r="B57" s="467"/>
      <c r="C57" s="467"/>
      <c r="D57" s="467"/>
      <c r="E57" s="468"/>
      <c r="F57" s="149">
        <f>F55-F31</f>
        <v>0</v>
      </c>
      <c r="G57" s="149">
        <f>G55-G31</f>
        <v>0</v>
      </c>
      <c r="H57" s="149">
        <f>H55-H31</f>
        <v>0</v>
      </c>
      <c r="I57" s="149">
        <f>I55-I31</f>
        <v>0</v>
      </c>
      <c r="J57" s="149">
        <f>J55-J31</f>
        <v>0</v>
      </c>
    </row>
    <row r="58" spans="1:22" ht="15.75" thickBot="1"/>
    <row r="59" spans="1:22" ht="23.25">
      <c r="A59" s="469" t="str">
        <f>A11</f>
        <v>EMPRESA FINART S.A.S</v>
      </c>
      <c r="B59" s="470"/>
      <c r="C59" s="470"/>
      <c r="D59" s="470"/>
      <c r="E59" s="470"/>
      <c r="F59" s="470"/>
      <c r="G59" s="470"/>
      <c r="H59" s="470"/>
      <c r="I59" s="470"/>
      <c r="J59" s="470"/>
    </row>
    <row r="60" spans="1:22">
      <c r="A60" s="459" t="s">
        <v>18</v>
      </c>
      <c r="B60" s="460"/>
      <c r="C60" s="460"/>
      <c r="D60" s="460"/>
      <c r="E60" s="460"/>
      <c r="F60" s="460"/>
      <c r="G60" s="460"/>
      <c r="H60" s="460"/>
      <c r="I60" s="460"/>
      <c r="J60" s="460"/>
    </row>
    <row r="61" spans="1:22">
      <c r="A61" s="459" t="s">
        <v>3</v>
      </c>
      <c r="B61" s="460"/>
      <c r="C61" s="460"/>
      <c r="D61" s="460"/>
      <c r="E61" s="460"/>
      <c r="F61" s="460"/>
      <c r="G61" s="460"/>
      <c r="H61" s="460"/>
      <c r="I61" s="460"/>
      <c r="J61" s="460"/>
    </row>
    <row r="62" spans="1:22" ht="15.75" thickBot="1">
      <c r="A62" s="461" t="s">
        <v>2</v>
      </c>
      <c r="B62" s="462"/>
      <c r="C62" s="462"/>
      <c r="D62" s="462"/>
      <c r="E62" s="462"/>
      <c r="F62" s="462"/>
      <c r="G62" s="462"/>
      <c r="H62" s="462"/>
      <c r="I62" s="462"/>
      <c r="J62" s="462"/>
      <c r="M62" s="335">
        <f>+L67/L68</f>
        <v>0.22220316320229466</v>
      </c>
    </row>
    <row r="63" spans="1:22" ht="15.75" thickBot="1">
      <c r="A63" s="429" t="s">
        <v>25</v>
      </c>
      <c r="B63" s="429"/>
      <c r="C63" s="429"/>
      <c r="D63" s="429"/>
      <c r="E63" s="429"/>
      <c r="F63" s="13">
        <f t="shared" ref="F63:O63" si="25">F15</f>
        <v>2015</v>
      </c>
      <c r="G63" s="13">
        <f t="shared" si="25"/>
        <v>2016</v>
      </c>
      <c r="H63" s="13">
        <f t="shared" si="25"/>
        <v>2017</v>
      </c>
      <c r="I63" s="13">
        <f t="shared" si="25"/>
        <v>2018</v>
      </c>
      <c r="J63" s="17">
        <f t="shared" si="25"/>
        <v>2019</v>
      </c>
      <c r="K63" s="31">
        <f t="shared" si="25"/>
        <v>2015</v>
      </c>
      <c r="L63" s="32">
        <f t="shared" si="25"/>
        <v>2016</v>
      </c>
      <c r="M63" s="32">
        <f t="shared" si="25"/>
        <v>2017</v>
      </c>
      <c r="N63" s="32">
        <f t="shared" si="25"/>
        <v>2018</v>
      </c>
      <c r="O63" s="33">
        <f t="shared" si="25"/>
        <v>2019</v>
      </c>
      <c r="P63" s="38" t="s">
        <v>38</v>
      </c>
      <c r="R63" s="38" t="s">
        <v>246</v>
      </c>
      <c r="S63" s="38" t="s">
        <v>247</v>
      </c>
    </row>
    <row r="64" spans="1:22" ht="15.75" thickBot="1">
      <c r="A64" s="464" t="s">
        <v>22</v>
      </c>
      <c r="B64" s="465"/>
      <c r="C64" s="465"/>
      <c r="D64" s="465"/>
      <c r="E64" s="465"/>
      <c r="F64" s="5"/>
      <c r="G64" s="5"/>
      <c r="H64" s="5"/>
      <c r="I64" s="5"/>
      <c r="J64" s="5"/>
      <c r="K64" s="437" t="s">
        <v>28</v>
      </c>
      <c r="L64" s="438"/>
      <c r="M64" s="438"/>
      <c r="N64" s="438"/>
      <c r="O64" s="438"/>
      <c r="P64" s="39"/>
      <c r="R64" s="424"/>
      <c r="S64" s="425"/>
      <c r="V64" s="111"/>
    </row>
    <row r="65" spans="1:25" ht="15.75">
      <c r="A65" s="433" t="s">
        <v>215</v>
      </c>
      <c r="B65" s="434"/>
      <c r="C65" s="434"/>
      <c r="D65" s="434"/>
      <c r="E65" s="435"/>
      <c r="F65" s="148">
        <v>38715485</v>
      </c>
      <c r="G65" s="148">
        <v>28632157</v>
      </c>
      <c r="H65" s="148">
        <v>35125738</v>
      </c>
      <c r="I65" s="148">
        <v>41528969</v>
      </c>
      <c r="J65" s="148">
        <v>47339770</v>
      </c>
      <c r="K65" s="146">
        <f>F65/F$65</f>
        <v>1</v>
      </c>
      <c r="L65" s="16">
        <f t="shared" ref="L65:L70" si="26">G65/G$65</f>
        <v>1</v>
      </c>
      <c r="M65" s="16">
        <f t="shared" ref="M65:M70" si="27">H65/H$65</f>
        <v>1</v>
      </c>
      <c r="N65" s="16">
        <f t="shared" ref="N65:N70" si="28">I65/I$65</f>
        <v>1</v>
      </c>
      <c r="O65" s="16">
        <f t="shared" ref="O65:O70" si="29">J65/J$65</f>
        <v>1</v>
      </c>
      <c r="P65" s="37">
        <f t="shared" ref="P65" si="30">AVERAGE(M65:O65)</f>
        <v>1</v>
      </c>
      <c r="R65" s="63" t="s">
        <v>29</v>
      </c>
      <c r="S65" s="183">
        <f>P65</f>
        <v>1</v>
      </c>
      <c r="T65" s="328"/>
      <c r="U65" s="328"/>
      <c r="V65" s="111"/>
      <c r="W65" s="328"/>
      <c r="X65" s="328"/>
      <c r="Y65" s="328"/>
    </row>
    <row r="66" spans="1:25" ht="15.75">
      <c r="A66" s="433" t="s">
        <v>216</v>
      </c>
      <c r="B66" s="434"/>
      <c r="C66" s="434"/>
      <c r="D66" s="434"/>
      <c r="E66" s="435"/>
      <c r="F66" s="150">
        <v>33505579</v>
      </c>
      <c r="G66" s="150">
        <v>28101039</v>
      </c>
      <c r="H66" s="150">
        <v>31960144</v>
      </c>
      <c r="I66" s="148">
        <v>36875646</v>
      </c>
      <c r="J66" s="148">
        <v>39542834</v>
      </c>
      <c r="K66" s="147">
        <f t="shared" ref="K66:K70" si="31">F66/F$65</f>
        <v>0.86543095094895495</v>
      </c>
      <c r="L66" s="15">
        <f t="shared" si="26"/>
        <v>0.98145029730033961</v>
      </c>
      <c r="M66" s="15">
        <f t="shared" si="27"/>
        <v>0.90987822092165005</v>
      </c>
      <c r="N66" s="15">
        <f t="shared" si="28"/>
        <v>0.8879499512737723</v>
      </c>
      <c r="O66" s="15">
        <f t="shared" si="29"/>
        <v>0.83529839709825371</v>
      </c>
      <c r="P66" s="37">
        <f>AVERAGE(M66:O66)</f>
        <v>0.87770885643122531</v>
      </c>
      <c r="Q66" s="21"/>
      <c r="R66" s="63" t="s">
        <v>236</v>
      </c>
      <c r="S66" s="183">
        <f>P66</f>
        <v>0.87770885643122531</v>
      </c>
      <c r="T66" s="328"/>
      <c r="U66" s="328"/>
      <c r="V66" s="111"/>
      <c r="W66" s="328"/>
      <c r="X66" s="328"/>
      <c r="Y66" s="328"/>
    </row>
    <row r="67" spans="1:25">
      <c r="A67" s="463" t="s">
        <v>19</v>
      </c>
      <c r="B67" s="463"/>
      <c r="C67" s="463"/>
      <c r="D67" s="463"/>
      <c r="E67" s="463"/>
      <c r="F67" s="14">
        <f>F65-F66</f>
        <v>5209906</v>
      </c>
      <c r="G67" s="14">
        <f>G65-G66</f>
        <v>531118</v>
      </c>
      <c r="H67" s="14">
        <f>H65-H66</f>
        <v>3165594</v>
      </c>
      <c r="I67" s="14">
        <f>I65-I66</f>
        <v>4653323</v>
      </c>
      <c r="J67" s="14">
        <f>J65-J66</f>
        <v>7796936</v>
      </c>
      <c r="K67" s="146">
        <f t="shared" si="31"/>
        <v>0.13456904905104508</v>
      </c>
      <c r="L67" s="16">
        <f t="shared" si="26"/>
        <v>1.8549702699660386E-2</v>
      </c>
      <c r="M67" s="16">
        <f t="shared" si="27"/>
        <v>9.0121779078349895E-2</v>
      </c>
      <c r="N67" s="16">
        <f t="shared" si="28"/>
        <v>0.1120500487262277</v>
      </c>
      <c r="O67" s="16">
        <f t="shared" si="29"/>
        <v>0.16470160290174624</v>
      </c>
      <c r="P67" s="22">
        <f>AVERAGE(M67:O67)</f>
        <v>0.12229114356877462</v>
      </c>
      <c r="R67" s="4" t="s">
        <v>237</v>
      </c>
      <c r="S67" s="183">
        <f>P68+P69</f>
        <v>7.5634256598152566E-2</v>
      </c>
      <c r="T67" s="328"/>
      <c r="U67" s="328"/>
      <c r="V67" s="111"/>
      <c r="W67" s="328"/>
      <c r="X67" s="328"/>
      <c r="Y67" s="328"/>
    </row>
    <row r="68" spans="1:25" ht="15.75">
      <c r="A68" s="432" t="s">
        <v>217</v>
      </c>
      <c r="B68" s="432"/>
      <c r="C68" s="432"/>
      <c r="D68" s="432"/>
      <c r="E68" s="432"/>
      <c r="F68" s="150">
        <v>2164509</v>
      </c>
      <c r="G68" s="150">
        <v>2390236</v>
      </c>
      <c r="H68" s="150">
        <v>2254844</v>
      </c>
      <c r="I68" s="150">
        <v>2298706</v>
      </c>
      <c r="J68" s="150">
        <v>2838368</v>
      </c>
      <c r="K68" s="147">
        <f t="shared" si="31"/>
        <v>5.5908094655148968E-2</v>
      </c>
      <c r="L68" s="15">
        <f t="shared" si="26"/>
        <v>8.3480821930391066E-2</v>
      </c>
      <c r="M68" s="15">
        <f t="shared" si="27"/>
        <v>6.419349822628638E-2</v>
      </c>
      <c r="N68" s="15">
        <f t="shared" si="28"/>
        <v>5.5351867752845008E-2</v>
      </c>
      <c r="O68" s="15">
        <f t="shared" si="29"/>
        <v>5.9957367769213919E-2</v>
      </c>
      <c r="P68" s="23">
        <f>AVERAGE(M68:O68)</f>
        <v>5.9834244582781769E-2</v>
      </c>
      <c r="Q68" s="21"/>
      <c r="R68" s="22" t="s">
        <v>238</v>
      </c>
      <c r="S68" s="22">
        <f>S66+S67</f>
        <v>0.95334311302937791</v>
      </c>
      <c r="T68" s="328"/>
      <c r="U68" s="328"/>
      <c r="V68" s="111"/>
      <c r="W68" s="328"/>
      <c r="X68" s="328"/>
      <c r="Y68" s="328"/>
    </row>
    <row r="69" spans="1:25" ht="15.75">
      <c r="A69" s="432" t="s">
        <v>218</v>
      </c>
      <c r="B69" s="432"/>
      <c r="C69" s="432"/>
      <c r="D69" s="432"/>
      <c r="E69" s="432"/>
      <c r="F69" s="150">
        <v>946717</v>
      </c>
      <c r="G69" s="150">
        <v>579542</v>
      </c>
      <c r="H69" s="150">
        <v>528433</v>
      </c>
      <c r="I69" s="150">
        <v>586174</v>
      </c>
      <c r="J69" s="150">
        <v>863533</v>
      </c>
      <c r="K69" s="147">
        <f t="shared" si="31"/>
        <v>2.4453187142044069E-2</v>
      </c>
      <c r="L69" s="15">
        <f t="shared" si="26"/>
        <v>2.0240947966302363E-2</v>
      </c>
      <c r="M69" s="15">
        <f t="shared" si="27"/>
        <v>1.5044039786438082E-2</v>
      </c>
      <c r="N69" s="15">
        <f t="shared" si="28"/>
        <v>1.4114821872895519E-2</v>
      </c>
      <c r="O69" s="15">
        <f t="shared" si="29"/>
        <v>1.8241174386778813E-2</v>
      </c>
      <c r="P69" s="23">
        <f>AVERAGE(M69:O69)</f>
        <v>1.5800012015370804E-2</v>
      </c>
      <c r="Q69" s="21"/>
      <c r="R69" s="63" t="s">
        <v>239</v>
      </c>
      <c r="S69" s="22">
        <f>S65-S68</f>
        <v>4.6656886970622091E-2</v>
      </c>
      <c r="T69" s="143"/>
    </row>
    <row r="70" spans="1:25">
      <c r="A70" s="463" t="s">
        <v>20</v>
      </c>
      <c r="B70" s="463"/>
      <c r="C70" s="463"/>
      <c r="D70" s="463"/>
      <c r="E70" s="463"/>
      <c r="F70" s="14">
        <f>F67-F68-F69</f>
        <v>2098680</v>
      </c>
      <c r="G70" s="14">
        <f>G67-G68-G69</f>
        <v>-2438660</v>
      </c>
      <c r="H70" s="14">
        <f>H67-H68-H69</f>
        <v>382317</v>
      </c>
      <c r="I70" s="14">
        <f>I67-I68-I69</f>
        <v>1768443</v>
      </c>
      <c r="J70" s="14">
        <f>J67-J68-J69</f>
        <v>4095035</v>
      </c>
      <c r="K70" s="146">
        <f t="shared" si="31"/>
        <v>5.4207767253852041E-2</v>
      </c>
      <c r="L70" s="16">
        <f t="shared" si="26"/>
        <v>-8.5172067197033047E-2</v>
      </c>
      <c r="M70" s="16">
        <f t="shared" si="27"/>
        <v>1.088424106562544E-2</v>
      </c>
      <c r="N70" s="16">
        <f t="shared" si="28"/>
        <v>4.2583359100487182E-2</v>
      </c>
      <c r="O70" s="16">
        <f t="shared" si="29"/>
        <v>8.6503060745753521E-2</v>
      </c>
      <c r="P70" s="22">
        <f>AVERAGE(M70:O70)</f>
        <v>4.6656886970622043E-2</v>
      </c>
      <c r="R70" s="4" t="s">
        <v>240</v>
      </c>
      <c r="S70" s="23">
        <f>P72</f>
        <v>1.0881507792020012E-2</v>
      </c>
      <c r="T70" s="21"/>
    </row>
    <row r="71" spans="1:25">
      <c r="A71" s="464" t="s">
        <v>23</v>
      </c>
      <c r="B71" s="465"/>
      <c r="C71" s="465"/>
      <c r="D71" s="465"/>
      <c r="E71" s="465"/>
      <c r="F71" s="5"/>
      <c r="G71" s="5"/>
      <c r="H71" s="5"/>
      <c r="I71" s="5"/>
      <c r="J71" s="6"/>
      <c r="K71" s="34"/>
      <c r="L71" s="34"/>
      <c r="M71" s="34"/>
      <c r="N71" s="34"/>
      <c r="O71" s="35"/>
      <c r="P71" s="36"/>
      <c r="R71" s="4" t="s">
        <v>241</v>
      </c>
      <c r="S71" s="183">
        <f>P73+P74</f>
        <v>2.1708032135816908E-2</v>
      </c>
      <c r="T71" s="21"/>
    </row>
    <row r="72" spans="1:25" ht="15.75">
      <c r="A72" s="432" t="s">
        <v>219</v>
      </c>
      <c r="B72" s="432"/>
      <c r="C72" s="432"/>
      <c r="D72" s="432"/>
      <c r="E72" s="432"/>
      <c r="F72" s="148">
        <v>8050815</v>
      </c>
      <c r="G72" s="148">
        <v>6196524</v>
      </c>
      <c r="H72" s="148">
        <v>1358789</v>
      </c>
      <c r="I72" s="150">
        <v>63706</v>
      </c>
      <c r="J72" s="150">
        <v>-358507</v>
      </c>
      <c r="K72" s="147">
        <f t="shared" ref="K72:K74" si="32">F72/F$65</f>
        <v>0.20794818920646352</v>
      </c>
      <c r="L72" s="15">
        <f t="shared" ref="L72:L74" si="33">G72/G$65</f>
        <v>0.21641834389214895</v>
      </c>
      <c r="M72" s="15">
        <f t="shared" ref="M72:M74" si="34">H72/H$65</f>
        <v>3.8683571573642099E-2</v>
      </c>
      <c r="N72" s="15">
        <f t="shared" ref="N72:N74" si="35">I72/I$65</f>
        <v>1.5340135219826911E-3</v>
      </c>
      <c r="O72" s="15">
        <f t="shared" ref="O72:O74" si="36">J72/J$65</f>
        <v>-7.5730617195647549E-3</v>
      </c>
      <c r="P72" s="23">
        <f>AVERAGE(M72:O72)</f>
        <v>1.0881507792020012E-2</v>
      </c>
      <c r="R72" s="4" t="s">
        <v>242</v>
      </c>
      <c r="S72" s="23">
        <f>P77</f>
        <v>8.7511073527458561E-3</v>
      </c>
      <c r="T72" s="21"/>
    </row>
    <row r="73" spans="1:25" ht="15.75">
      <c r="A73" s="432" t="s">
        <v>220</v>
      </c>
      <c r="B73" s="432"/>
      <c r="C73" s="432"/>
      <c r="D73" s="432"/>
      <c r="E73" s="432"/>
      <c r="F73" s="150">
        <v>188288</v>
      </c>
      <c r="G73" s="150">
        <v>11720</v>
      </c>
      <c r="H73" s="150">
        <v>76445</v>
      </c>
      <c r="I73" s="150">
        <v>0</v>
      </c>
      <c r="J73" s="150">
        <v>144126</v>
      </c>
      <c r="K73" s="147">
        <f t="shared" si="32"/>
        <v>4.8633770182654303E-3</v>
      </c>
      <c r="L73" s="15">
        <f t="shared" si="33"/>
        <v>4.0932997119287937E-4</v>
      </c>
      <c r="M73" s="15">
        <f t="shared" si="34"/>
        <v>2.1763243807147912E-3</v>
      </c>
      <c r="N73" s="15">
        <f t="shared" si="35"/>
        <v>0</v>
      </c>
      <c r="O73" s="15">
        <f t="shared" si="36"/>
        <v>3.0445014836362745E-3</v>
      </c>
      <c r="P73" s="23">
        <f>AVERAGE(M73:O73)</f>
        <v>1.7402752881170219E-3</v>
      </c>
      <c r="R73" s="63" t="s">
        <v>243</v>
      </c>
      <c r="S73" s="22">
        <f>S69+S70-S71-S72</f>
        <v>2.7079255274079339E-2</v>
      </c>
      <c r="T73" s="143"/>
      <c r="U73" s="21"/>
    </row>
    <row r="74" spans="1:25" ht="15.75">
      <c r="A74" s="432" t="s">
        <v>221</v>
      </c>
      <c r="B74" s="432"/>
      <c r="C74" s="432"/>
      <c r="D74" s="432"/>
      <c r="E74" s="432"/>
      <c r="F74" s="150">
        <v>6624280</v>
      </c>
      <c r="G74" s="150">
        <v>6229530</v>
      </c>
      <c r="H74" s="150">
        <v>1459144</v>
      </c>
      <c r="I74" s="150">
        <v>296887</v>
      </c>
      <c r="J74" s="150">
        <v>530857</v>
      </c>
      <c r="K74" s="147">
        <f t="shared" si="32"/>
        <v>0.17110156310840482</v>
      </c>
      <c r="L74" s="15">
        <f t="shared" si="33"/>
        <v>0.21757110370692645</v>
      </c>
      <c r="M74" s="15">
        <f t="shared" si="34"/>
        <v>4.1540593396215617E-2</v>
      </c>
      <c r="N74" s="15">
        <f t="shared" si="35"/>
        <v>7.1489133284286443E-3</v>
      </c>
      <c r="O74" s="15">
        <f t="shared" si="36"/>
        <v>1.1213763818455392E-2</v>
      </c>
      <c r="P74" s="332">
        <f>AVERAGE(M74:O74)</f>
        <v>1.9967756847699886E-2</v>
      </c>
    </row>
    <row r="75" spans="1:25">
      <c r="A75" s="464" t="s">
        <v>24</v>
      </c>
      <c r="B75" s="465"/>
      <c r="C75" s="465"/>
      <c r="D75" s="465"/>
      <c r="E75" s="465"/>
      <c r="F75" s="5"/>
      <c r="G75" s="5"/>
      <c r="H75" s="5"/>
      <c r="I75" s="5"/>
      <c r="J75" s="6"/>
      <c r="K75" s="34"/>
      <c r="L75" s="34"/>
      <c r="M75" s="34"/>
      <c r="N75" s="34"/>
      <c r="O75" s="35"/>
      <c r="P75" s="36"/>
    </row>
    <row r="76" spans="1:25">
      <c r="A76" s="463" t="s">
        <v>21</v>
      </c>
      <c r="B76" s="463"/>
      <c r="C76" s="463"/>
      <c r="D76" s="463"/>
      <c r="E76" s="463"/>
      <c r="F76" s="14">
        <f>F70+F72-F73-F74</f>
        <v>3336927</v>
      </c>
      <c r="G76" s="14">
        <f>G70+G72-G73-G74</f>
        <v>-2483386</v>
      </c>
      <c r="H76" s="14">
        <f>H70+H72-H73-H74</f>
        <v>205517</v>
      </c>
      <c r="I76" s="14">
        <f>I70+I72-I73-I74</f>
        <v>1535262</v>
      </c>
      <c r="J76" s="14">
        <f>J70+J72-J73-J74</f>
        <v>3061545</v>
      </c>
      <c r="K76" s="146">
        <f t="shared" ref="K76:K78" si="37">F76/F$65</f>
        <v>8.6191016333645315E-2</v>
      </c>
      <c r="L76" s="16">
        <f t="shared" ref="L76:L78" si="38">G76/G$65</f>
        <v>-8.6734156983003408E-2</v>
      </c>
      <c r="M76" s="16">
        <f t="shared" ref="M76:M78" si="39">H76/H$65</f>
        <v>5.8508948623371276E-3</v>
      </c>
      <c r="N76" s="16">
        <f t="shared" ref="N76:N78" si="40">I76/I$65</f>
        <v>3.6968459294041224E-2</v>
      </c>
      <c r="O76" s="16">
        <f t="shared" ref="O76:O78" si="41">J76/J$65</f>
        <v>6.4671733724097097E-2</v>
      </c>
      <c r="P76" s="22">
        <f>AVERAGE(M76:O76)</f>
        <v>3.5830362626825152E-2</v>
      </c>
    </row>
    <row r="77" spans="1:25" ht="15.75">
      <c r="A77" s="432" t="s">
        <v>222</v>
      </c>
      <c r="B77" s="432"/>
      <c r="C77" s="432"/>
      <c r="D77" s="432"/>
      <c r="E77" s="432"/>
      <c r="F77" s="150">
        <v>1602245</v>
      </c>
      <c r="G77" s="150">
        <v>162667</v>
      </c>
      <c r="H77" s="150">
        <v>-184402</v>
      </c>
      <c r="I77" s="150">
        <v>300483</v>
      </c>
      <c r="J77" s="150">
        <v>1148822</v>
      </c>
      <c r="K77" s="147">
        <f t="shared" si="37"/>
        <v>4.1385120191571922E-2</v>
      </c>
      <c r="L77" s="15">
        <f t="shared" si="38"/>
        <v>5.6812694901051293E-3</v>
      </c>
      <c r="M77" s="15">
        <f t="shared" si="39"/>
        <v>-5.2497687023686165E-3</v>
      </c>
      <c r="N77" s="15">
        <f t="shared" si="40"/>
        <v>7.2355034867347661E-3</v>
      </c>
      <c r="O77" s="15">
        <f t="shared" si="41"/>
        <v>2.4267587273871419E-2</v>
      </c>
      <c r="P77" s="23">
        <f>AVERAGE(M77:O77)</f>
        <v>8.7511073527458561E-3</v>
      </c>
    </row>
    <row r="78" spans="1:25">
      <c r="A78" s="463" t="s">
        <v>223</v>
      </c>
      <c r="B78" s="463"/>
      <c r="C78" s="463"/>
      <c r="D78" s="463"/>
      <c r="E78" s="463"/>
      <c r="F78" s="14">
        <f>F76-F77</f>
        <v>1734682</v>
      </c>
      <c r="G78" s="14">
        <f>G76-G77</f>
        <v>-2646053</v>
      </c>
      <c r="H78" s="14">
        <f>H76-H77</f>
        <v>389919</v>
      </c>
      <c r="I78" s="14">
        <f>I76-I77</f>
        <v>1234779</v>
      </c>
      <c r="J78" s="14">
        <f>J76-J77</f>
        <v>1912723</v>
      </c>
      <c r="K78" s="146">
        <f t="shared" si="37"/>
        <v>4.4805896142073386E-2</v>
      </c>
      <c r="L78" s="16">
        <f t="shared" si="38"/>
        <v>-9.2415426473108533E-2</v>
      </c>
      <c r="M78" s="16">
        <f t="shared" si="39"/>
        <v>1.1100663564705744E-2</v>
      </c>
      <c r="N78" s="16">
        <f t="shared" si="40"/>
        <v>2.973295580730646E-2</v>
      </c>
      <c r="O78" s="16">
        <f t="shared" si="41"/>
        <v>4.0404146450225678E-2</v>
      </c>
      <c r="P78" s="22">
        <f>AVERAGE(M78:O78)</f>
        <v>2.7079255274079294E-2</v>
      </c>
    </row>
    <row r="79" spans="1:25">
      <c r="G79" s="187"/>
      <c r="H79" s="187"/>
      <c r="I79" s="187"/>
      <c r="J79" s="187"/>
      <c r="K79" s="188"/>
      <c r="L79" s="188"/>
      <c r="M79" s="188"/>
      <c r="N79" s="188"/>
      <c r="O79" s="188"/>
    </row>
    <row r="81" spans="1:11" ht="15.75" thickBot="1">
      <c r="F81" s="19"/>
    </row>
    <row r="82" spans="1:11" ht="16.5" thickBot="1">
      <c r="A82" s="160" t="s">
        <v>224</v>
      </c>
      <c r="B82" s="161"/>
      <c r="C82" s="161"/>
      <c r="D82" s="161"/>
      <c r="E82" s="161"/>
      <c r="F82" s="162">
        <f>F63</f>
        <v>2015</v>
      </c>
      <c r="G82" s="162">
        <f>G63</f>
        <v>2016</v>
      </c>
      <c r="H82" s="162">
        <f>H63</f>
        <v>2017</v>
      </c>
      <c r="I82" s="162">
        <f>I63</f>
        <v>2018</v>
      </c>
      <c r="J82" s="163">
        <f>J63</f>
        <v>2019</v>
      </c>
    </row>
    <row r="83" spans="1:11" ht="15.75">
      <c r="A83" s="152" t="s">
        <v>225</v>
      </c>
      <c r="B83" s="2"/>
      <c r="C83" s="2"/>
      <c r="D83" s="2"/>
      <c r="E83" s="2"/>
      <c r="F83" s="153">
        <v>3362885</v>
      </c>
      <c r="G83" s="153">
        <v>3846401</v>
      </c>
      <c r="H83" s="153">
        <v>4254198</v>
      </c>
      <c r="I83" s="153">
        <v>4496319</v>
      </c>
      <c r="J83" s="154">
        <v>4695706</v>
      </c>
    </row>
    <row r="84" spans="1:11" ht="16.5" thickBot="1">
      <c r="A84" s="155" t="s">
        <v>226</v>
      </c>
      <c r="B84" s="159"/>
      <c r="C84" s="159"/>
      <c r="D84" s="159"/>
      <c r="E84" s="159"/>
      <c r="F84" s="156">
        <v>51911</v>
      </c>
      <c r="G84" s="156">
        <v>59385</v>
      </c>
      <c r="H84" s="156">
        <v>65795</v>
      </c>
      <c r="I84" s="157">
        <v>77122</v>
      </c>
      <c r="J84" s="158">
        <v>89281</v>
      </c>
    </row>
    <row r="86" spans="1:11">
      <c r="I86" s="328"/>
      <c r="J86" s="328"/>
    </row>
    <row r="87" spans="1:11">
      <c r="H87" s="138"/>
      <c r="I87" s="138"/>
      <c r="J87" s="138"/>
      <c r="K87" s="384"/>
    </row>
    <row r="88" spans="1:11">
      <c r="H88" s="138"/>
      <c r="I88" s="138"/>
      <c r="J88" s="138"/>
      <c r="K88" s="384"/>
    </row>
    <row r="89" spans="1:11">
      <c r="H89" s="384"/>
      <c r="I89" s="384"/>
      <c r="J89" s="384"/>
      <c r="K89" s="384"/>
    </row>
  </sheetData>
  <mergeCells count="67">
    <mergeCell ref="A52:E52"/>
    <mergeCell ref="A44:E44"/>
    <mergeCell ref="A23:E23"/>
    <mergeCell ref="A33:E33"/>
    <mergeCell ref="A40:E40"/>
    <mergeCell ref="A48:E48"/>
    <mergeCell ref="A50:E50"/>
    <mergeCell ref="A51:E51"/>
    <mergeCell ref="A46:E46"/>
    <mergeCell ref="A49:E49"/>
    <mergeCell ref="A42:E42"/>
    <mergeCell ref="A43:E43"/>
    <mergeCell ref="A38:E38"/>
    <mergeCell ref="A39:E39"/>
    <mergeCell ref="A41:E41"/>
    <mergeCell ref="A36:E36"/>
    <mergeCell ref="A53:E53"/>
    <mergeCell ref="A55:E55"/>
    <mergeCell ref="A76:E76"/>
    <mergeCell ref="A57:E57"/>
    <mergeCell ref="A59:J59"/>
    <mergeCell ref="A60:J60"/>
    <mergeCell ref="A61:J61"/>
    <mergeCell ref="A62:J62"/>
    <mergeCell ref="A77:E77"/>
    <mergeCell ref="A78:E78"/>
    <mergeCell ref="A63:E63"/>
    <mergeCell ref="A71:E71"/>
    <mergeCell ref="A75:E75"/>
    <mergeCell ref="A65:E65"/>
    <mergeCell ref="A66:E66"/>
    <mergeCell ref="A67:E67"/>
    <mergeCell ref="A68:E68"/>
    <mergeCell ref="A69:E69"/>
    <mergeCell ref="A70:E70"/>
    <mergeCell ref="A72:E72"/>
    <mergeCell ref="A73:E73"/>
    <mergeCell ref="A64:E64"/>
    <mergeCell ref="A74:E74"/>
    <mergeCell ref="A13:O13"/>
    <mergeCell ref="A14:O14"/>
    <mergeCell ref="A20:E20"/>
    <mergeCell ref="A21:E21"/>
    <mergeCell ref="A22:E22"/>
    <mergeCell ref="A18:E18"/>
    <mergeCell ref="A19:E19"/>
    <mergeCell ref="A1:O5"/>
    <mergeCell ref="A8:O8"/>
    <mergeCell ref="A9:O10"/>
    <mergeCell ref="A11:O11"/>
    <mergeCell ref="A12:O12"/>
    <mergeCell ref="R64:S64"/>
    <mergeCell ref="K16:O16"/>
    <mergeCell ref="A15:E15"/>
    <mergeCell ref="A16:E16"/>
    <mergeCell ref="A17:E17"/>
    <mergeCell ref="A28:E28"/>
    <mergeCell ref="A27:E27"/>
    <mergeCell ref="A24:E24"/>
    <mergeCell ref="A25:E25"/>
    <mergeCell ref="A26:E26"/>
    <mergeCell ref="A37:E37"/>
    <mergeCell ref="A29:E29"/>
    <mergeCell ref="A31:E31"/>
    <mergeCell ref="A34:E34"/>
    <mergeCell ref="A35:E35"/>
    <mergeCell ref="K64:O64"/>
  </mergeCells>
  <conditionalFormatting sqref="K17:O22">
    <cfRule type="cellIs" dxfId="1" priority="3" operator="greaterThanOrEqual">
      <formula>0.2</formula>
    </cfRule>
  </conditionalFormatting>
  <conditionalFormatting sqref="K24:O29">
    <cfRule type="cellIs" priority="2" operator="greaterThanOrEqual">
      <formula>0.15</formula>
    </cfRule>
  </conditionalFormatting>
  <conditionalFormatting sqref="K34:O38">
    <cfRule type="cellIs" dxfId="0" priority="1" operator="greaterThanOrEqual">
      <formula>0.15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rgb="FF00B050"/>
  </sheetPr>
  <dimension ref="B1:AK154"/>
  <sheetViews>
    <sheetView topLeftCell="B1" zoomScale="80" zoomScaleNormal="80" workbookViewId="0">
      <selection activeCell="B14" sqref="B14:R14"/>
    </sheetView>
  </sheetViews>
  <sheetFormatPr baseColWidth="10" defaultRowHeight="15"/>
  <cols>
    <col min="1" max="1" width="2.7109375" style="336" customWidth="1"/>
    <col min="2" max="6" width="11.42578125" style="336"/>
    <col min="7" max="7" width="37.42578125" style="336" customWidth="1"/>
    <col min="8" max="8" width="15.28515625" style="336" customWidth="1"/>
    <col min="9" max="9" width="15.85546875" style="336" customWidth="1"/>
    <col min="10" max="10" width="15" style="336" customWidth="1"/>
    <col min="11" max="11" width="15.28515625" style="336" customWidth="1"/>
    <col min="12" max="12" width="18.5703125" style="336" customWidth="1"/>
    <col min="13" max="17" width="15.28515625" style="336" customWidth="1"/>
    <col min="18" max="18" width="11.42578125" style="336" customWidth="1"/>
    <col min="19" max="19" width="27.85546875" style="336" customWidth="1"/>
    <col min="20" max="20" width="23.7109375" style="336" bestFit="1" customWidth="1"/>
    <col min="21" max="21" width="22.5703125" style="336" bestFit="1" customWidth="1"/>
    <col min="22" max="23" width="12.28515625" style="336" bestFit="1" customWidth="1"/>
    <col min="24" max="24" width="8.42578125" style="336" bestFit="1" customWidth="1"/>
    <col min="25" max="25" width="14.7109375" style="336" customWidth="1"/>
    <col min="26" max="26" width="23.140625" style="336" bestFit="1" customWidth="1"/>
    <col min="27" max="27" width="22.5703125" style="336" bestFit="1" customWidth="1"/>
    <col min="28" max="28" width="13.5703125" style="336" customWidth="1"/>
    <col min="29" max="29" width="14.140625" style="336" customWidth="1"/>
    <col min="30" max="36" width="11.42578125" style="336"/>
    <col min="37" max="37" width="24.85546875" style="336" customWidth="1"/>
    <col min="38" max="16384" width="11.42578125" style="336"/>
  </cols>
  <sheetData>
    <row r="1" spans="2:30">
      <c r="B1" s="509" t="s">
        <v>0</v>
      </c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1"/>
    </row>
    <row r="2" spans="2:30">
      <c r="B2" s="512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4"/>
    </row>
    <row r="3" spans="2:30">
      <c r="B3" s="512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4"/>
    </row>
    <row r="4" spans="2:30">
      <c r="B4" s="512"/>
      <c r="C4" s="513"/>
      <c r="D4" s="513"/>
      <c r="E4" s="513"/>
      <c r="F4" s="513"/>
      <c r="G4" s="513"/>
      <c r="H4" s="513"/>
      <c r="I4" s="513"/>
      <c r="J4" s="513"/>
      <c r="K4" s="513"/>
      <c r="L4" s="513"/>
      <c r="M4" s="513"/>
      <c r="N4" s="513"/>
      <c r="O4" s="513"/>
      <c r="P4" s="513"/>
      <c r="Q4" s="513"/>
      <c r="R4" s="514"/>
    </row>
    <row r="5" spans="2:30">
      <c r="B5" s="512"/>
      <c r="C5" s="513"/>
      <c r="D5" s="513"/>
      <c r="E5" s="513"/>
      <c r="F5" s="513"/>
      <c r="G5" s="513"/>
      <c r="H5" s="513"/>
      <c r="I5" s="513"/>
      <c r="J5" s="513"/>
      <c r="K5" s="513"/>
      <c r="L5" s="513"/>
      <c r="M5" s="513"/>
      <c r="N5" s="513"/>
      <c r="O5" s="513"/>
      <c r="P5" s="513"/>
      <c r="Q5" s="513"/>
      <c r="R5" s="514"/>
    </row>
    <row r="6" spans="2:30" ht="15.75" thickBot="1">
      <c r="B6" s="186" t="str">
        <f>'Cifras Historicas'!A6</f>
        <v>Modelo INGEH V6.0 Ultima actualización Octubre de 2020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4"/>
    </row>
    <row r="8" spans="2:30" ht="15.75" thickBot="1"/>
    <row r="9" spans="2:30">
      <c r="B9" s="481" t="s">
        <v>39</v>
      </c>
      <c r="C9" s="482"/>
      <c r="D9" s="482"/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2"/>
      <c r="R9" s="483"/>
    </row>
    <row r="10" spans="2:30" ht="15.75" thickBot="1">
      <c r="B10" s="484"/>
      <c r="C10" s="485"/>
      <c r="D10" s="485"/>
      <c r="E10" s="485"/>
      <c r="F10" s="485"/>
      <c r="G10" s="485"/>
      <c r="H10" s="485"/>
      <c r="I10" s="485"/>
      <c r="J10" s="485"/>
      <c r="K10" s="485"/>
      <c r="L10" s="485"/>
      <c r="M10" s="485"/>
      <c r="N10" s="485"/>
      <c r="O10" s="485"/>
      <c r="P10" s="485"/>
      <c r="Q10" s="485"/>
      <c r="R10" s="486"/>
    </row>
    <row r="11" spans="2:30" ht="23.25">
      <c r="B11" s="487" t="s">
        <v>268</v>
      </c>
      <c r="C11" s="488"/>
      <c r="D11" s="488"/>
      <c r="E11" s="488"/>
      <c r="F11" s="488"/>
      <c r="G11" s="488"/>
      <c r="H11" s="488"/>
      <c r="I11" s="488"/>
      <c r="J11" s="488"/>
      <c r="K11" s="488"/>
      <c r="L11" s="488"/>
      <c r="M11" s="488"/>
      <c r="N11" s="488"/>
      <c r="O11" s="488"/>
      <c r="P11" s="488"/>
      <c r="Q11" s="488"/>
      <c r="R11" s="489"/>
    </row>
    <row r="12" spans="2:30">
      <c r="B12" s="459" t="s">
        <v>26</v>
      </c>
      <c r="C12" s="460"/>
      <c r="D12" s="460"/>
      <c r="E12" s="460"/>
      <c r="F12" s="460"/>
      <c r="G12" s="460"/>
      <c r="H12" s="460"/>
      <c r="I12" s="460"/>
      <c r="J12" s="460"/>
      <c r="K12" s="460"/>
      <c r="L12" s="460"/>
      <c r="M12" s="460"/>
      <c r="N12" s="460"/>
      <c r="O12" s="460"/>
      <c r="P12" s="460"/>
      <c r="Q12" s="460"/>
      <c r="R12" s="490"/>
      <c r="U12" s="336" t="s">
        <v>269</v>
      </c>
    </row>
    <row r="13" spans="2:30" ht="15.75" thickBot="1">
      <c r="B13" s="459" t="s">
        <v>310</v>
      </c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460"/>
      <c r="N13" s="460"/>
      <c r="O13" s="460"/>
      <c r="P13" s="460"/>
      <c r="Q13" s="460"/>
      <c r="R13" s="490"/>
    </row>
    <row r="14" spans="2:30" ht="21.75" thickBot="1">
      <c r="B14" s="461" t="s">
        <v>2</v>
      </c>
      <c r="C14" s="462"/>
      <c r="D14" s="462"/>
      <c r="E14" s="462"/>
      <c r="F14" s="462"/>
      <c r="G14" s="462"/>
      <c r="H14" s="462"/>
      <c r="I14" s="462"/>
      <c r="J14" s="462"/>
      <c r="K14" s="462"/>
      <c r="L14" s="462"/>
      <c r="M14" s="462"/>
      <c r="N14" s="462"/>
      <c r="O14" s="462"/>
      <c r="P14" s="462"/>
      <c r="Q14" s="462"/>
      <c r="R14" s="521"/>
      <c r="T14" s="471" t="s">
        <v>258</v>
      </c>
      <c r="U14" s="472"/>
      <c r="V14" s="472"/>
      <c r="W14" s="472"/>
      <c r="X14" s="472"/>
      <c r="Y14" s="472"/>
      <c r="Z14" s="472"/>
      <c r="AA14" s="472"/>
      <c r="AB14" s="472"/>
      <c r="AC14" s="472"/>
      <c r="AD14" s="473"/>
    </row>
    <row r="15" spans="2:30" ht="15.75" thickBot="1">
      <c r="B15" s="522"/>
      <c r="C15" s="522"/>
      <c r="D15" s="522"/>
      <c r="E15" s="522"/>
      <c r="F15" s="522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T15" s="219" t="s">
        <v>258</v>
      </c>
      <c r="U15" s="220">
        <f t="shared" ref="U15:AC15" si="0">G24</f>
        <v>2015</v>
      </c>
      <c r="V15" s="220">
        <f t="shared" si="0"/>
        <v>2016</v>
      </c>
      <c r="W15" s="220">
        <f t="shared" si="0"/>
        <v>2017</v>
      </c>
      <c r="X15" s="220">
        <f t="shared" si="0"/>
        <v>2018</v>
      </c>
      <c r="Y15" s="221">
        <f t="shared" si="0"/>
        <v>2019</v>
      </c>
      <c r="Z15" s="222">
        <f t="shared" si="0"/>
        <v>2020</v>
      </c>
      <c r="AA15" s="223">
        <f t="shared" si="0"/>
        <v>2021</v>
      </c>
      <c r="AB15" s="223">
        <f t="shared" si="0"/>
        <v>2022</v>
      </c>
      <c r="AC15" s="223">
        <f t="shared" si="0"/>
        <v>2023</v>
      </c>
      <c r="AD15" s="224">
        <f t="shared" ref="AD15" si="1">Q24</f>
        <v>2025</v>
      </c>
    </row>
    <row r="16" spans="2:30" ht="15.75" thickBot="1">
      <c r="T16" s="216" t="s">
        <v>256</v>
      </c>
      <c r="U16" s="355">
        <v>0.15</v>
      </c>
      <c r="V16" s="355">
        <v>0.14000000000000001</v>
      </c>
      <c r="W16" s="355">
        <v>0.115</v>
      </c>
      <c r="X16" s="355">
        <v>0.12</v>
      </c>
      <c r="Y16" s="356">
        <v>0.105</v>
      </c>
      <c r="Z16" s="357">
        <f>_xlfn.FORECAST.LINEAR(Z15,U16:Y16,U15:Y15)</f>
        <v>9.2999999999999972E-2</v>
      </c>
      <c r="AA16" s="355">
        <f>_xlfn.FORECAST.LINEAR(AA15,V16:Z16,V15:Z15)</f>
        <v>8.3399999999997476E-2</v>
      </c>
      <c r="AB16" s="355">
        <f>_xlfn.FORECAST.LINEAR(AB15,W16:AA16,W15:AA15)</f>
        <v>7.6219999999995736E-2</v>
      </c>
      <c r="AC16" s="355">
        <f>_xlfn.FORECAST.LINEAR(AC15,X16:AB16,X15:AB15)</f>
        <v>6.2775999999995946E-2</v>
      </c>
      <c r="AD16" s="356">
        <f>_xlfn.FORECAST.LINEAR(AD15,Y16:AC16,Y15:AC15)</f>
        <v>4.3587999999992633E-2</v>
      </c>
    </row>
    <row r="17" spans="2:32">
      <c r="B17" s="481" t="s">
        <v>31</v>
      </c>
      <c r="C17" s="482"/>
      <c r="D17" s="482"/>
      <c r="E17" s="482"/>
      <c r="F17" s="482"/>
      <c r="G17" s="482"/>
      <c r="H17" s="482"/>
      <c r="I17" s="482"/>
      <c r="J17" s="482"/>
      <c r="K17" s="482"/>
      <c r="L17" s="482"/>
      <c r="M17" s="482"/>
      <c r="N17" s="482"/>
      <c r="O17" s="482"/>
      <c r="P17" s="482"/>
      <c r="Q17" s="482"/>
      <c r="R17" s="483"/>
    </row>
    <row r="18" spans="2:32" ht="15.75" thickBot="1">
      <c r="B18" s="484"/>
      <c r="C18" s="485"/>
      <c r="D18" s="485"/>
      <c r="E18" s="485"/>
      <c r="F18" s="485"/>
      <c r="G18" s="485"/>
      <c r="H18" s="485"/>
      <c r="I18" s="485"/>
      <c r="J18" s="485"/>
      <c r="K18" s="485"/>
      <c r="L18" s="485"/>
      <c r="M18" s="485"/>
      <c r="N18" s="485"/>
      <c r="O18" s="485"/>
      <c r="P18" s="485"/>
      <c r="Q18" s="485"/>
      <c r="R18" s="486"/>
      <c r="U18" s="336" t="s">
        <v>264</v>
      </c>
    </row>
    <row r="19" spans="2:32" ht="23.25">
      <c r="B19" s="487" t="str">
        <f>+B11</f>
        <v>EMPRESA FINART S.A.S</v>
      </c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88"/>
      <c r="N19" s="488"/>
      <c r="O19" s="488"/>
      <c r="P19" s="488"/>
      <c r="Q19" s="488"/>
      <c r="R19" s="489"/>
      <c r="U19" s="336" t="s">
        <v>265</v>
      </c>
    </row>
    <row r="20" spans="2:32">
      <c r="B20" s="459" t="s">
        <v>32</v>
      </c>
      <c r="C20" s="460"/>
      <c r="D20" s="460"/>
      <c r="E20" s="460"/>
      <c r="F20" s="460"/>
      <c r="G20" s="460"/>
      <c r="H20" s="460"/>
      <c r="I20" s="460"/>
      <c r="J20" s="460"/>
      <c r="K20" s="460"/>
      <c r="L20" s="460"/>
      <c r="M20" s="460"/>
      <c r="N20" s="460"/>
      <c r="O20" s="460"/>
      <c r="P20" s="460"/>
      <c r="Q20" s="460"/>
      <c r="R20" s="490"/>
    </row>
    <row r="21" spans="2:32" ht="15.75" thickBot="1">
      <c r="B21" s="459"/>
      <c r="C21" s="460"/>
      <c r="D21" s="460"/>
      <c r="E21" s="460"/>
      <c r="F21" s="460"/>
      <c r="G21" s="460"/>
      <c r="H21" s="460"/>
      <c r="I21" s="460"/>
      <c r="J21" s="460"/>
      <c r="K21" s="460"/>
      <c r="L21" s="460"/>
      <c r="M21" s="460"/>
      <c r="N21" s="460"/>
      <c r="O21" s="460"/>
      <c r="P21" s="460"/>
      <c r="Q21" s="460"/>
      <c r="R21" s="490"/>
    </row>
    <row r="22" spans="2:32" ht="24" thickBot="1">
      <c r="B22" s="491" t="s">
        <v>33</v>
      </c>
      <c r="C22" s="492"/>
      <c r="D22" s="492"/>
      <c r="E22" s="492"/>
      <c r="F22" s="492"/>
      <c r="G22" s="492"/>
      <c r="H22" s="492"/>
      <c r="I22" s="492"/>
      <c r="J22" s="492"/>
      <c r="K22" s="492"/>
      <c r="L22" s="492"/>
      <c r="M22" s="492"/>
      <c r="N22" s="492"/>
      <c r="O22" s="492"/>
      <c r="P22" s="492"/>
      <c r="Q22" s="492"/>
      <c r="R22" s="493"/>
    </row>
    <row r="23" spans="2:32" ht="22.5" customHeight="1" thickBot="1">
      <c r="B23" s="358"/>
      <c r="C23" s="359"/>
      <c r="D23" s="359"/>
      <c r="E23" s="359"/>
      <c r="F23" s="359"/>
      <c r="G23" s="526" t="s">
        <v>37</v>
      </c>
      <c r="H23" s="527"/>
      <c r="I23" s="527"/>
      <c r="J23" s="527"/>
      <c r="K23" s="527"/>
      <c r="L23" s="526" t="s">
        <v>36</v>
      </c>
      <c r="M23" s="527"/>
      <c r="N23" s="527"/>
      <c r="O23" s="527"/>
      <c r="P23" s="527"/>
      <c r="Q23" s="527"/>
      <c r="R23" s="360"/>
      <c r="U23" s="477" t="s">
        <v>307</v>
      </c>
      <c r="V23" s="478"/>
      <c r="W23" s="478"/>
      <c r="X23" s="478"/>
      <c r="Y23" s="479"/>
      <c r="Z23" s="397"/>
      <c r="AB23" s="474" t="s">
        <v>255</v>
      </c>
      <c r="AC23" s="475"/>
      <c r="AD23" s="475"/>
      <c r="AE23" s="475"/>
      <c r="AF23" s="476"/>
    </row>
    <row r="24" spans="2:32" ht="15.75" customHeight="1">
      <c r="B24" s="523" t="s">
        <v>248</v>
      </c>
      <c r="C24" s="524"/>
      <c r="D24" s="524"/>
      <c r="E24" s="524"/>
      <c r="F24" s="525"/>
      <c r="G24" s="209">
        <f>'Cifras Historicas'!F15</f>
        <v>2015</v>
      </c>
      <c r="H24" s="206">
        <f>'Cifras Historicas'!G15</f>
        <v>2016</v>
      </c>
      <c r="I24" s="206">
        <f>'Cifras Historicas'!H15</f>
        <v>2017</v>
      </c>
      <c r="J24" s="206">
        <f>'Cifras Historicas'!I15</f>
        <v>2018</v>
      </c>
      <c r="K24" s="210">
        <f>'Cifras Historicas'!J15</f>
        <v>2019</v>
      </c>
      <c r="L24" s="213">
        <f>K24+1</f>
        <v>2020</v>
      </c>
      <c r="M24" s="207">
        <f>L24+1</f>
        <v>2021</v>
      </c>
      <c r="N24" s="207">
        <f>M24+1</f>
        <v>2022</v>
      </c>
      <c r="O24" s="207">
        <f>N24+1</f>
        <v>2023</v>
      </c>
      <c r="P24" s="208">
        <v>2024</v>
      </c>
      <c r="Q24" s="208">
        <v>2025</v>
      </c>
      <c r="R24" s="361"/>
      <c r="T24" s="204" t="s">
        <v>253</v>
      </c>
      <c r="U24" s="202">
        <f>L24</f>
        <v>2020</v>
      </c>
      <c r="V24" s="25">
        <f>M24</f>
        <v>2021</v>
      </c>
      <c r="W24" s="25">
        <f>N24</f>
        <v>2022</v>
      </c>
      <c r="X24" s="25">
        <f>O24</f>
        <v>2023</v>
      </c>
      <c r="Y24" s="191">
        <v>2024</v>
      </c>
      <c r="Z24" s="191">
        <v>2024</v>
      </c>
      <c r="AA24" s="204" t="s">
        <v>253</v>
      </c>
      <c r="AB24" s="190">
        <f>L24</f>
        <v>2020</v>
      </c>
      <c r="AC24" s="25">
        <f>M24</f>
        <v>2021</v>
      </c>
      <c r="AD24" s="25">
        <f>N24</f>
        <v>2022</v>
      </c>
      <c r="AE24" s="25">
        <f>O24</f>
        <v>2023</v>
      </c>
      <c r="AF24" s="191">
        <f>Q24</f>
        <v>2025</v>
      </c>
    </row>
    <row r="25" spans="2:32" ht="15.75" customHeight="1">
      <c r="B25" s="494" t="s">
        <v>34</v>
      </c>
      <c r="C25" s="480"/>
      <c r="D25" s="480"/>
      <c r="E25" s="480"/>
      <c r="F25" s="495"/>
      <c r="G25" s="51">
        <v>6.7699999999999996E-2</v>
      </c>
      <c r="H25" s="51">
        <v>5.7500000000000002E-2</v>
      </c>
      <c r="I25" s="51">
        <v>4.0899999999999999E-2</v>
      </c>
      <c r="J25" s="51">
        <v>3.1800000000000002E-2</v>
      </c>
      <c r="K25" s="51">
        <v>3.7999999999999999E-2</v>
      </c>
      <c r="L25" s="385">
        <v>1.61E-2</v>
      </c>
      <c r="M25" s="386">
        <v>0.03</v>
      </c>
      <c r="N25" s="386">
        <v>0.03</v>
      </c>
      <c r="O25" s="386">
        <v>0.03</v>
      </c>
      <c r="P25" s="387">
        <v>0.03</v>
      </c>
      <c r="Q25" s="387">
        <v>0.03</v>
      </c>
      <c r="R25" s="361"/>
      <c r="T25" s="362" t="s">
        <v>34</v>
      </c>
      <c r="U25" s="363">
        <v>1.61E-2</v>
      </c>
      <c r="V25" s="183">
        <v>1.2999999999999999E-2</v>
      </c>
      <c r="W25" s="183">
        <v>1.575E-2</v>
      </c>
      <c r="X25" s="183">
        <v>1.4500000000000001E-2</v>
      </c>
      <c r="Y25" s="364">
        <v>1.55E-2</v>
      </c>
      <c r="Z25" s="364">
        <v>1.55E-2</v>
      </c>
      <c r="AA25" s="362" t="s">
        <v>34</v>
      </c>
      <c r="AB25" s="365">
        <v>1.61E-2</v>
      </c>
      <c r="AC25" s="183">
        <v>3.1E-2</v>
      </c>
      <c r="AD25" s="183">
        <v>3.6499999999999998E-2</v>
      </c>
      <c r="AE25" s="183">
        <v>3.0000000000000002E-2</v>
      </c>
      <c r="AF25" s="364">
        <v>3.2000000000000001E-2</v>
      </c>
    </row>
    <row r="26" spans="2:32" ht="15.75" customHeight="1">
      <c r="B26" s="494" t="s">
        <v>249</v>
      </c>
      <c r="C26" s="480"/>
      <c r="D26" s="480"/>
      <c r="E26" s="480"/>
      <c r="F26" s="495"/>
      <c r="G26" s="365">
        <v>0.03</v>
      </c>
      <c r="H26" s="183">
        <v>2.1000000000000001E-2</v>
      </c>
      <c r="I26" s="183">
        <v>1.4E-2</v>
      </c>
      <c r="J26" s="183">
        <v>2.5000000000000001E-2</v>
      </c>
      <c r="K26" s="364">
        <v>3.3000000000000002E-2</v>
      </c>
      <c r="L26" s="385">
        <v>-6.5000000000000002E-2</v>
      </c>
      <c r="M26" s="386">
        <v>6.6000000000000003E-2</v>
      </c>
      <c r="N26" s="386">
        <v>5.5E-2</v>
      </c>
      <c r="O26" s="386">
        <v>0.05</v>
      </c>
      <c r="P26" s="386">
        <v>4.5999999999999999E-2</v>
      </c>
      <c r="Q26" s="386">
        <v>4.2000000000000003E-2</v>
      </c>
      <c r="R26" s="361"/>
      <c r="T26" s="362" t="s">
        <v>249</v>
      </c>
      <c r="U26" s="363">
        <v>-6.5000000000000002E-2</v>
      </c>
      <c r="V26" s="183">
        <v>3.3000000000000002E-2</v>
      </c>
      <c r="W26" s="183">
        <v>3.5000000000000003E-2</v>
      </c>
      <c r="X26" s="183">
        <v>3.5000000000000003E-2</v>
      </c>
      <c r="Y26" s="364">
        <v>3.5000000000000003E-2</v>
      </c>
      <c r="Z26" s="398">
        <v>3.5999999999999997E-2</v>
      </c>
      <c r="AA26" s="362" t="s">
        <v>249</v>
      </c>
      <c r="AB26" s="365">
        <v>-6.5000000000000002E-2</v>
      </c>
      <c r="AC26" s="183">
        <v>-4.0099999999999997E-2</v>
      </c>
      <c r="AD26" s="183">
        <v>0.02</v>
      </c>
      <c r="AE26" s="183">
        <v>3.6000000000000004E-2</v>
      </c>
      <c r="AF26" s="364">
        <v>3.1E-2</v>
      </c>
    </row>
    <row r="27" spans="2:32" ht="15.75" customHeight="1">
      <c r="B27" s="494" t="s">
        <v>250</v>
      </c>
      <c r="C27" s="480"/>
      <c r="D27" s="480"/>
      <c r="E27" s="480"/>
      <c r="F27" s="495"/>
      <c r="G27" s="211"/>
      <c r="H27" s="329">
        <f>('Cifras Historicas'!G78/'Cifras Historicas'!F78)-1</f>
        <v>-2.5253821737932372</v>
      </c>
      <c r="I27" s="329">
        <f>('Cifras Historicas'!H78/'Cifras Historicas'!G78)-1</f>
        <v>-1.1473587263747174</v>
      </c>
      <c r="J27" s="329">
        <f>('Cifras Historicas'!I78/'Cifras Historicas'!H78)-1</f>
        <v>2.1667577112169449</v>
      </c>
      <c r="K27" s="193">
        <f>('Cifras Historicas'!J78/'Cifras Historicas'!I78)-1</f>
        <v>0.54904075952052955</v>
      </c>
      <c r="L27" s="192">
        <f>FORECAST(L24,$H$27:$K$27,$H$24:$K$24)</f>
        <v>2.8951107020252493</v>
      </c>
      <c r="M27" s="329">
        <f t="shared" ref="M27:O27" si="2">FORECAST(M24,$H$27:$K$27,$H$24:$K$24)</f>
        <v>4.1488492257785765</v>
      </c>
      <c r="N27" s="329">
        <f t="shared" si="2"/>
        <v>5.4025877495319037</v>
      </c>
      <c r="O27" s="329">
        <f t="shared" si="2"/>
        <v>6.6563262732852309</v>
      </c>
      <c r="P27" s="193">
        <f t="shared" ref="P27" si="3">FORECAST(P24,$H$27:$K$27,$H$24:$K$24)</f>
        <v>7.910064797038558</v>
      </c>
      <c r="Q27" s="193">
        <f>FORECAST(Q24,$H$27:$K$27,$H$24:$K$24)</f>
        <v>9.1638033207918852</v>
      </c>
      <c r="R27" s="361"/>
      <c r="T27" s="362" t="s">
        <v>250</v>
      </c>
      <c r="U27" s="147">
        <v>-0.02</v>
      </c>
      <c r="V27" s="329">
        <v>-0.01</v>
      </c>
      <c r="W27" s="329">
        <v>0.01</v>
      </c>
      <c r="X27" s="329">
        <v>1.4999999999999999E-2</v>
      </c>
      <c r="Y27" s="193">
        <v>0.02</v>
      </c>
      <c r="Z27" s="399"/>
      <c r="AA27" s="362" t="s">
        <v>250</v>
      </c>
      <c r="AB27" s="192">
        <v>0.02</v>
      </c>
      <c r="AC27" s="329">
        <v>2.6000000000000002E-2</v>
      </c>
      <c r="AD27" s="329">
        <v>3.4000000000000002E-2</v>
      </c>
      <c r="AE27" s="329">
        <v>4.4000000000000004E-2</v>
      </c>
      <c r="AF27" s="193">
        <v>6.9000000000000006E-2</v>
      </c>
    </row>
    <row r="28" spans="2:32" ht="15.75" customHeight="1" thickBot="1">
      <c r="B28" s="531" t="s">
        <v>254</v>
      </c>
      <c r="C28" s="463"/>
      <c r="D28" s="463"/>
      <c r="E28" s="463"/>
      <c r="F28" s="532"/>
      <c r="G28" s="211"/>
      <c r="H28" s="329">
        <f>((1+H25)*(1+H26))-1</f>
        <v>7.9707500000000042E-2</v>
      </c>
      <c r="I28" s="329">
        <f t="shared" ref="I28:O28" si="4">((1+I25)*(1+I26))-1</f>
        <v>5.5472599999999872E-2</v>
      </c>
      <c r="J28" s="329">
        <f t="shared" si="4"/>
        <v>5.7595000000000063E-2</v>
      </c>
      <c r="K28" s="193">
        <f t="shared" si="4"/>
        <v>7.225400000000004E-2</v>
      </c>
      <c r="L28" s="193">
        <f t="shared" si="4"/>
        <v>-4.9946499999999894E-2</v>
      </c>
      <c r="M28" s="193">
        <f t="shared" si="4"/>
        <v>9.7980000000000178E-2</v>
      </c>
      <c r="N28" s="193">
        <f t="shared" si="4"/>
        <v>8.6649999999999894E-2</v>
      </c>
      <c r="O28" s="193">
        <f t="shared" si="4"/>
        <v>8.1500000000000128E-2</v>
      </c>
      <c r="P28" s="193">
        <f t="shared" ref="P28" si="5">((1+P25)*(1+P26))-1</f>
        <v>7.7380000000000004E-2</v>
      </c>
      <c r="Q28" s="193">
        <f>((1+Q25)*(1+Q26))-1</f>
        <v>7.3260000000000103E-2</v>
      </c>
      <c r="R28" s="361"/>
      <c r="T28" s="205" t="s">
        <v>251</v>
      </c>
      <c r="U28" s="203">
        <f>((1+U25)*(1+U26)*(1+U27))-1</f>
        <v>-6.8947569999999958E-2</v>
      </c>
      <c r="V28" s="197">
        <f t="shared" ref="V28:Y28" si="6">((1+V25)*(1+V26)*(1+V27))-1</f>
        <v>3.5964709999999789E-2</v>
      </c>
      <c r="W28" s="197">
        <f t="shared" si="6"/>
        <v>6.1814262499999773E-2</v>
      </c>
      <c r="X28" s="197">
        <f t="shared" si="6"/>
        <v>6.5757612499999896E-2</v>
      </c>
      <c r="Y28" s="198">
        <f t="shared" si="6"/>
        <v>7.2063349999999859E-2</v>
      </c>
      <c r="Z28" s="400"/>
      <c r="AA28" s="205" t="s">
        <v>251</v>
      </c>
      <c r="AB28" s="201">
        <f t="shared" ref="AB28:AF28" si="7">((1+AB25)*(1+AB26)*(1+AB27))-1</f>
        <v>-3.0945429999999829E-2</v>
      </c>
      <c r="AC28" s="199">
        <f t="shared" si="7"/>
        <v>1.5387979399999807E-2</v>
      </c>
      <c r="AD28" s="199">
        <f t="shared" si="7"/>
        <v>9.3175819999999909E-2</v>
      </c>
      <c r="AE28" s="199">
        <f t="shared" si="7"/>
        <v>0.11403152000000016</v>
      </c>
      <c r="AF28" s="200">
        <f t="shared" si="7"/>
        <v>0.13740744800000004</v>
      </c>
    </row>
    <row r="29" spans="2:32" ht="15" customHeight="1">
      <c r="B29" s="531" t="s">
        <v>251</v>
      </c>
      <c r="C29" s="463"/>
      <c r="D29" s="463"/>
      <c r="E29" s="463"/>
      <c r="F29" s="532"/>
      <c r="G29" s="366"/>
      <c r="H29" s="48">
        <f>H28</f>
        <v>7.9707500000000042E-2</v>
      </c>
      <c r="I29" s="48">
        <f t="shared" ref="I29:K29" si="8">I28</f>
        <v>5.5472599999999872E-2</v>
      </c>
      <c r="J29" s="48">
        <f t="shared" si="8"/>
        <v>5.7595000000000063E-2</v>
      </c>
      <c r="K29" s="212">
        <f t="shared" si="8"/>
        <v>7.225400000000004E-2</v>
      </c>
      <c r="L29" s="194">
        <f>CHOOSE($G$30,L28,U28,AB28)</f>
        <v>-4.9946499999999894E-2</v>
      </c>
      <c r="M29" s="49">
        <f>CHOOSE($G$30,M28,V28,AC28)</f>
        <v>9.7980000000000178E-2</v>
      </c>
      <c r="N29" s="49">
        <f>CHOOSE($G$30,N28,W28,AD28)</f>
        <v>8.6649999999999894E-2</v>
      </c>
      <c r="O29" s="49">
        <f>CHOOSE($G$30,O28,X28,AE28)</f>
        <v>8.1500000000000128E-2</v>
      </c>
      <c r="P29" s="195">
        <f>CHOOSE($G$30,P28,X28,AE28)</f>
        <v>7.7380000000000004E-2</v>
      </c>
      <c r="Q29" s="195">
        <f>CHOOSE($G$30,Q28,Y28,AF28)</f>
        <v>7.3260000000000103E-2</v>
      </c>
      <c r="R29" s="361"/>
      <c r="U29" s="196"/>
      <c r="V29" s="196"/>
      <c r="W29" s="196"/>
      <c r="X29" s="196"/>
      <c r="Y29" s="196"/>
      <c r="Z29" s="54"/>
      <c r="AA29" s="196"/>
      <c r="AB29" s="196"/>
      <c r="AC29" s="196"/>
      <c r="AD29" s="196"/>
      <c r="AE29" s="196"/>
      <c r="AF29" s="54"/>
    </row>
    <row r="30" spans="2:32" ht="21" customHeight="1" thickBot="1">
      <c r="B30" s="528" t="s">
        <v>257</v>
      </c>
      <c r="C30" s="529"/>
      <c r="D30" s="529"/>
      <c r="E30" s="529"/>
      <c r="F30" s="530"/>
      <c r="G30" s="214">
        <v>1</v>
      </c>
      <c r="H30" s="515" t="s">
        <v>250</v>
      </c>
      <c r="I30" s="515"/>
      <c r="J30" s="515"/>
      <c r="K30" s="516"/>
      <c r="L30" s="517" t="s">
        <v>252</v>
      </c>
      <c r="M30" s="518"/>
      <c r="N30" s="518"/>
      <c r="O30" s="518"/>
      <c r="P30" s="519"/>
      <c r="Q30" s="520"/>
      <c r="R30" s="361"/>
    </row>
    <row r="31" spans="2:32" ht="15.75" customHeight="1" thickBot="1">
      <c r="R31" s="367"/>
    </row>
    <row r="32" spans="2:32" ht="29.25" customHeight="1" thickBot="1">
      <c r="B32" s="496"/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8"/>
    </row>
    <row r="33" spans="2:18">
      <c r="B33" s="481" t="s">
        <v>39</v>
      </c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3"/>
    </row>
    <row r="34" spans="2:18" ht="15.75" thickBot="1">
      <c r="B34" s="484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6"/>
    </row>
    <row r="35" spans="2:18" ht="23.25">
      <c r="B35" s="487" t="str">
        <f>+B19</f>
        <v>EMPRESA FINART S.A.S</v>
      </c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9"/>
    </row>
    <row r="36" spans="2:18">
      <c r="B36" s="459" t="s">
        <v>40</v>
      </c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90"/>
    </row>
    <row r="37" spans="2:18" ht="15.75" thickBot="1">
      <c r="B37" s="534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6"/>
    </row>
    <row r="38" spans="2:18" ht="15.75" thickBot="1">
      <c r="B38" s="429" t="s">
        <v>10</v>
      </c>
      <c r="C38" s="429"/>
      <c r="D38" s="429"/>
      <c r="E38" s="429"/>
      <c r="F38" s="429"/>
      <c r="G38" s="18">
        <f t="shared" ref="G38:Q38" si="9">G24</f>
        <v>2015</v>
      </c>
      <c r="H38" s="18">
        <f t="shared" si="9"/>
        <v>2016</v>
      </c>
      <c r="I38" s="18">
        <f t="shared" si="9"/>
        <v>2017</v>
      </c>
      <c r="J38" s="18">
        <f t="shared" si="9"/>
        <v>2018</v>
      </c>
      <c r="K38" s="30">
        <f t="shared" si="9"/>
        <v>2019</v>
      </c>
      <c r="L38" s="44">
        <f t="shared" si="9"/>
        <v>2020</v>
      </c>
      <c r="M38" s="45">
        <f t="shared" si="9"/>
        <v>2021</v>
      </c>
      <c r="N38" s="45">
        <f t="shared" si="9"/>
        <v>2022</v>
      </c>
      <c r="O38" s="45">
        <f t="shared" si="9"/>
        <v>2023</v>
      </c>
      <c r="P38" s="46">
        <f t="shared" ref="P38" si="10">P24</f>
        <v>2024</v>
      </c>
      <c r="Q38" s="46">
        <f t="shared" si="9"/>
        <v>2025</v>
      </c>
    </row>
    <row r="39" spans="2:18">
      <c r="B39" s="430" t="s">
        <v>11</v>
      </c>
      <c r="C39" s="431"/>
      <c r="D39" s="431"/>
      <c r="E39" s="431"/>
      <c r="F39" s="431"/>
      <c r="G39" s="5"/>
      <c r="H39" s="5"/>
      <c r="I39" s="5"/>
      <c r="J39" s="5"/>
      <c r="K39" s="5"/>
      <c r="L39" s="345"/>
      <c r="M39" s="345"/>
      <c r="N39" s="345"/>
      <c r="O39" s="345"/>
      <c r="P39" s="345"/>
      <c r="Q39" s="345"/>
    </row>
    <row r="40" spans="2:18" ht="15.75">
      <c r="B40" s="480" t="s">
        <v>194</v>
      </c>
      <c r="C40" s="480"/>
      <c r="D40" s="480"/>
      <c r="E40" s="480"/>
      <c r="F40" s="480"/>
      <c r="G40" s="368">
        <f>'Cifras Historicas'!F17</f>
        <v>3103253</v>
      </c>
      <c r="H40" s="368">
        <f>'Cifras Historicas'!G17</f>
        <v>1180062</v>
      </c>
      <c r="I40" s="368">
        <f>'Cifras Historicas'!H17</f>
        <v>807943</v>
      </c>
      <c r="J40" s="368">
        <f>'Cifras Historicas'!I17</f>
        <v>2687829</v>
      </c>
      <c r="K40" s="368">
        <f>'Cifras Historicas'!J17</f>
        <v>2554195</v>
      </c>
      <c r="L40" s="368">
        <f>K40*(1+L$29)</f>
        <v>2426621.8994325004</v>
      </c>
      <c r="M40" s="368">
        <f t="shared" ref="M40:O40" si="11">L40*(1+M$29)</f>
        <v>2664382.3131388971</v>
      </c>
      <c r="N40" s="368">
        <f t="shared" si="11"/>
        <v>2895251.040572382</v>
      </c>
      <c r="O40" s="368">
        <f t="shared" si="11"/>
        <v>3131214.0003790315</v>
      </c>
      <c r="P40" s="368">
        <f>O40*(1+P$29)</f>
        <v>3373507.339728361</v>
      </c>
      <c r="Q40" s="368">
        <f>P40*(1+Q$29)</f>
        <v>3620650.4874368613</v>
      </c>
    </row>
    <row r="41" spans="2:18" ht="15.75">
      <c r="B41" s="480" t="s">
        <v>195</v>
      </c>
      <c r="C41" s="480"/>
      <c r="D41" s="480"/>
      <c r="E41" s="480"/>
      <c r="F41" s="480"/>
      <c r="G41" s="368">
        <f>'Cifras Historicas'!F18</f>
        <v>123118</v>
      </c>
      <c r="H41" s="368">
        <f>'Cifras Historicas'!G18</f>
        <v>3001698</v>
      </c>
      <c r="I41" s="368">
        <f>'Cifras Historicas'!H18</f>
        <v>3464630</v>
      </c>
      <c r="J41" s="368">
        <f>'Cifras Historicas'!I18</f>
        <v>2966552</v>
      </c>
      <c r="K41" s="368">
        <f>'Cifras Historicas'!J18</f>
        <v>3605195</v>
      </c>
      <c r="L41" s="368">
        <f t="shared" ref="L41:L44" si="12">K41*(1+L$29)</f>
        <v>3425128.1279325006</v>
      </c>
      <c r="M41" s="368">
        <f t="shared" ref="M41:M44" si="13">L41*(1+M$29)</f>
        <v>3760722.1819073274</v>
      </c>
      <c r="N41" s="368">
        <f t="shared" ref="N41:N44" si="14">M41*(1+N$29)</f>
        <v>4086588.7589695971</v>
      </c>
      <c r="O41" s="368">
        <f t="shared" ref="O41:O44" si="15">N41*(1+O$29)</f>
        <v>4419645.7428256199</v>
      </c>
      <c r="P41" s="368">
        <f t="shared" ref="P41:Q41" si="16">O41*(1+P$29)</f>
        <v>4761637.9304054668</v>
      </c>
      <c r="Q41" s="368">
        <f t="shared" si="16"/>
        <v>5110475.5251869718</v>
      </c>
    </row>
    <row r="42" spans="2:18" ht="15.75">
      <c r="B42" s="480" t="s">
        <v>196</v>
      </c>
      <c r="C42" s="480"/>
      <c r="D42" s="480"/>
      <c r="E42" s="480"/>
      <c r="F42" s="480"/>
      <c r="G42" s="368">
        <f>'Cifras Historicas'!F19</f>
        <v>14421502</v>
      </c>
      <c r="H42" s="368">
        <f>'Cifras Historicas'!G19</f>
        <v>5024392</v>
      </c>
      <c r="I42" s="368">
        <f>'Cifras Historicas'!H19</f>
        <v>4818344</v>
      </c>
      <c r="J42" s="368">
        <f>'Cifras Historicas'!I19</f>
        <v>7030714</v>
      </c>
      <c r="K42" s="368">
        <f>'Cifras Historicas'!J19</f>
        <v>7468543</v>
      </c>
      <c r="L42" s="368">
        <f t="shared" si="12"/>
        <v>7095515.4170505004</v>
      </c>
      <c r="M42" s="368">
        <f t="shared" si="13"/>
        <v>7790734.0176131101</v>
      </c>
      <c r="N42" s="368">
        <f t="shared" si="14"/>
        <v>8465801.1202392858</v>
      </c>
      <c r="O42" s="368">
        <f t="shared" si="15"/>
        <v>9155763.911538789</v>
      </c>
      <c r="P42" s="368">
        <f t="shared" ref="P42:Q42" si="17">O42*(1+P$29)</f>
        <v>9864236.9230136611</v>
      </c>
      <c r="Q42" s="368">
        <f t="shared" si="17"/>
        <v>10586890.919993643</v>
      </c>
    </row>
    <row r="43" spans="2:18" ht="15.75">
      <c r="B43" s="480" t="s">
        <v>197</v>
      </c>
      <c r="C43" s="480"/>
      <c r="D43" s="480"/>
      <c r="E43" s="480"/>
      <c r="F43" s="480"/>
      <c r="G43" s="368">
        <f>'Cifras Historicas'!F20</f>
        <v>4618740</v>
      </c>
      <c r="H43" s="368">
        <f>'Cifras Historicas'!G20</f>
        <v>5719287</v>
      </c>
      <c r="I43" s="368">
        <f>'Cifras Historicas'!H20</f>
        <v>6520213</v>
      </c>
      <c r="J43" s="368">
        <f>'Cifras Historicas'!I20</f>
        <v>5035879</v>
      </c>
      <c r="K43" s="368">
        <f>'Cifras Historicas'!J20</f>
        <v>7698465</v>
      </c>
      <c r="L43" s="368">
        <f t="shared" si="12"/>
        <v>7313953.6178775011</v>
      </c>
      <c r="M43" s="368">
        <f t="shared" si="13"/>
        <v>8030574.7933571404</v>
      </c>
      <c r="N43" s="368">
        <f t="shared" si="14"/>
        <v>8726424.0992015358</v>
      </c>
      <c r="O43" s="368">
        <f t="shared" si="15"/>
        <v>9437627.6632864624</v>
      </c>
      <c r="P43" s="368">
        <f t="shared" ref="P43:Q43" si="18">O43*(1+P$29)</f>
        <v>10167911.291871568</v>
      </c>
      <c r="Q43" s="368">
        <f t="shared" si="18"/>
        <v>10912812.473114081</v>
      </c>
    </row>
    <row r="44" spans="2:18" ht="15.75">
      <c r="B44" s="480" t="s">
        <v>198</v>
      </c>
      <c r="C44" s="480"/>
      <c r="D44" s="480"/>
      <c r="E44" s="480"/>
      <c r="F44" s="480"/>
      <c r="G44" s="368">
        <f>'Cifras Historicas'!F21</f>
        <v>2022913</v>
      </c>
      <c r="H44" s="368">
        <f>'Cifras Historicas'!G21</f>
        <v>25801</v>
      </c>
      <c r="I44" s="368">
        <f>'Cifras Historicas'!H21</f>
        <v>11885</v>
      </c>
      <c r="J44" s="368">
        <f>'Cifras Historicas'!I21</f>
        <v>10402</v>
      </c>
      <c r="K44" s="368">
        <f>'Cifras Historicas'!J21</f>
        <v>54294</v>
      </c>
      <c r="L44" s="368">
        <f t="shared" si="12"/>
        <v>51582.204729000005</v>
      </c>
      <c r="M44" s="368">
        <f t="shared" si="13"/>
        <v>56636.229148347433</v>
      </c>
      <c r="N44" s="368">
        <f t="shared" si="14"/>
        <v>61543.758404051732</v>
      </c>
      <c r="O44" s="368">
        <f t="shared" si="15"/>
        <v>66559.574713981958</v>
      </c>
      <c r="P44" s="368">
        <f t="shared" ref="P44:Q44" si="19">O44*(1+P$29)</f>
        <v>71709.954605349878</v>
      </c>
      <c r="Q44" s="368">
        <f t="shared" si="19"/>
        <v>76963.425879737813</v>
      </c>
    </row>
    <row r="45" spans="2:18" ht="15.75">
      <c r="B45" s="463" t="s">
        <v>199</v>
      </c>
      <c r="C45" s="463"/>
      <c r="D45" s="463"/>
      <c r="E45" s="463"/>
      <c r="F45" s="463"/>
      <c r="G45" s="178">
        <f>'Cifras Historicas'!F22</f>
        <v>24289526</v>
      </c>
      <c r="H45" s="178">
        <f>'Cifras Historicas'!G22</f>
        <v>14951240</v>
      </c>
      <c r="I45" s="178">
        <f>'Cifras Historicas'!H22</f>
        <v>15623015</v>
      </c>
      <c r="J45" s="178">
        <f>'Cifras Historicas'!I22</f>
        <v>17731376</v>
      </c>
      <c r="K45" s="178">
        <f>'Cifras Historicas'!J22</f>
        <v>21380692</v>
      </c>
      <c r="L45" s="178">
        <f>SUM(L40:L44)</f>
        <v>20312801.267022002</v>
      </c>
      <c r="M45" s="178">
        <f t="shared" ref="M45:Q45" si="20">SUM(M40:M44)</f>
        <v>22303049.535164822</v>
      </c>
      <c r="N45" s="178">
        <f t="shared" si="20"/>
        <v>24235608.777386848</v>
      </c>
      <c r="O45" s="178">
        <f t="shared" si="20"/>
        <v>26210810.892743886</v>
      </c>
      <c r="P45" s="178">
        <f t="shared" ref="P45" si="21">SUM(P40:P44)</f>
        <v>28239003.439624406</v>
      </c>
      <c r="Q45" s="178">
        <f t="shared" si="20"/>
        <v>30307792.831611298</v>
      </c>
    </row>
    <row r="46" spans="2:18">
      <c r="B46" s="464" t="s">
        <v>12</v>
      </c>
      <c r="C46" s="465"/>
      <c r="D46" s="465"/>
      <c r="E46" s="465"/>
      <c r="F46" s="465"/>
      <c r="G46" s="5"/>
      <c r="H46" s="5"/>
      <c r="I46" s="5"/>
      <c r="J46" s="5"/>
      <c r="K46" s="6"/>
      <c r="L46" s="345"/>
      <c r="M46" s="345"/>
      <c r="N46" s="345"/>
      <c r="O46" s="345"/>
      <c r="P46" s="345"/>
      <c r="Q46" s="345"/>
    </row>
    <row r="47" spans="2:18" ht="15.75">
      <c r="B47" s="506" t="s">
        <v>195</v>
      </c>
      <c r="C47" s="507"/>
      <c r="D47" s="507"/>
      <c r="E47" s="507"/>
      <c r="F47" s="508"/>
      <c r="G47" s="368">
        <f>'Cifras Historicas'!F24</f>
        <v>0</v>
      </c>
      <c r="H47" s="368">
        <f>'Cifras Historicas'!G24</f>
        <v>0</v>
      </c>
      <c r="I47" s="368">
        <f>'Cifras Historicas'!H24</f>
        <v>0</v>
      </c>
      <c r="J47" s="368">
        <f>'Cifras Historicas'!I24</f>
        <v>0</v>
      </c>
      <c r="K47" s="368">
        <f>'Cifras Historicas'!J24</f>
        <v>0</v>
      </c>
      <c r="L47" s="368">
        <f>K47*(1+L$29)</f>
        <v>0</v>
      </c>
      <c r="M47" s="368">
        <f t="shared" ref="M47:O47" si="22">L47*(1+M$29)</f>
        <v>0</v>
      </c>
      <c r="N47" s="368">
        <f t="shared" si="22"/>
        <v>0</v>
      </c>
      <c r="O47" s="368">
        <f t="shared" si="22"/>
        <v>0</v>
      </c>
      <c r="P47" s="368">
        <f>N47*(1+P$29)</f>
        <v>0</v>
      </c>
      <c r="Q47" s="368">
        <f>O47*(1+Q$29)</f>
        <v>0</v>
      </c>
    </row>
    <row r="48" spans="2:18" ht="15.75">
      <c r="B48" s="480" t="s">
        <v>200</v>
      </c>
      <c r="C48" s="480"/>
      <c r="D48" s="480"/>
      <c r="E48" s="480"/>
      <c r="F48" s="480"/>
      <c r="G48" s="368">
        <f>'Cifras Historicas'!F25</f>
        <v>0</v>
      </c>
      <c r="H48" s="368">
        <f>'Cifras Historicas'!G25</f>
        <v>0</v>
      </c>
      <c r="I48" s="368">
        <f>'Cifras Historicas'!H25</f>
        <v>0</v>
      </c>
      <c r="J48" s="368">
        <f>'Cifras Historicas'!I25</f>
        <v>0</v>
      </c>
      <c r="K48" s="368">
        <f>'Cifras Historicas'!J25</f>
        <v>0</v>
      </c>
      <c r="L48" s="368">
        <f>K48*(1+L$29)</f>
        <v>0</v>
      </c>
      <c r="M48" s="368">
        <f t="shared" ref="M48:O48" si="23">L48*(1+M$29)</f>
        <v>0</v>
      </c>
      <c r="N48" s="368">
        <f t="shared" si="23"/>
        <v>0</v>
      </c>
      <c r="O48" s="368">
        <f t="shared" si="23"/>
        <v>0</v>
      </c>
      <c r="P48" s="368">
        <f>N48*(1+P$29)</f>
        <v>0</v>
      </c>
      <c r="Q48" s="368">
        <f>O48*(1+Q$29)</f>
        <v>0</v>
      </c>
    </row>
    <row r="49" spans="2:37" ht="15.75">
      <c r="B49" s="480" t="s">
        <v>201</v>
      </c>
      <c r="C49" s="480"/>
      <c r="D49" s="480"/>
      <c r="E49" s="480"/>
      <c r="F49" s="480"/>
      <c r="G49" s="368">
        <f>'Cifras Historicas'!F26</f>
        <v>2026164</v>
      </c>
      <c r="H49" s="368">
        <f>'Cifras Historicas'!G26</f>
        <v>2015598</v>
      </c>
      <c r="I49" s="368">
        <f>'Cifras Historicas'!H26</f>
        <v>1674573</v>
      </c>
      <c r="J49" s="368">
        <f>'Cifras Historicas'!I26</f>
        <v>1860558</v>
      </c>
      <c r="K49" s="368">
        <f>'Cifras Historicas'!J26</f>
        <v>2257287</v>
      </c>
      <c r="L49" s="368">
        <f>K49*(1+L$29)</f>
        <v>2144543.4148545004</v>
      </c>
      <c r="M49" s="368">
        <f t="shared" ref="M49:O49" si="24">L49*(1+M$29)</f>
        <v>2354665.7786419448</v>
      </c>
      <c r="N49" s="368">
        <f t="shared" si="24"/>
        <v>2558697.5683612688</v>
      </c>
      <c r="O49" s="368">
        <f t="shared" si="24"/>
        <v>2767231.4201827124</v>
      </c>
      <c r="P49" s="368">
        <f>O49*(1+P$29)</f>
        <v>2981359.7874764507</v>
      </c>
      <c r="Q49" s="368">
        <f>P49*(1+Q$29)</f>
        <v>3199774.2055069758</v>
      </c>
    </row>
    <row r="50" spans="2:37" ht="15.75">
      <c r="B50" s="480" t="s">
        <v>202</v>
      </c>
      <c r="C50" s="480"/>
      <c r="D50" s="480"/>
      <c r="E50" s="480"/>
      <c r="F50" s="480"/>
      <c r="G50" s="368">
        <f>'Cifras Historicas'!F27</f>
        <v>15755</v>
      </c>
      <c r="H50" s="368">
        <f>'Cifras Historicas'!G27</f>
        <v>11055</v>
      </c>
      <c r="I50" s="368">
        <f>'Cifras Historicas'!H27</f>
        <v>22491</v>
      </c>
      <c r="J50" s="368">
        <f>'Cifras Historicas'!I27</f>
        <v>30573</v>
      </c>
      <c r="K50" s="368">
        <f>'Cifras Historicas'!J27</f>
        <v>18414</v>
      </c>
      <c r="L50" s="368">
        <f t="shared" ref="L50:L51" si="25">K50*(1+L$29)</f>
        <v>17494.285149000003</v>
      </c>
      <c r="M50" s="368">
        <f t="shared" ref="M50:M51" si="26">L50*(1+M$29)</f>
        <v>19208.375207899026</v>
      </c>
      <c r="N50" s="368">
        <f t="shared" ref="N50:N51" si="27">M50*(1+N$29)</f>
        <v>20872.780919663473</v>
      </c>
      <c r="O50" s="368">
        <f t="shared" ref="O50:O51" si="28">N50*(1+O$29)</f>
        <v>22573.91256461605</v>
      </c>
      <c r="P50" s="368">
        <f t="shared" ref="P50:Q50" si="29">O50*(1+P$29)</f>
        <v>24320.681918866041</v>
      </c>
      <c r="Q50" s="368">
        <f t="shared" si="29"/>
        <v>26102.41507624217</v>
      </c>
    </row>
    <row r="51" spans="2:37" ht="15.75">
      <c r="B51" s="480" t="s">
        <v>203</v>
      </c>
      <c r="C51" s="480"/>
      <c r="D51" s="480"/>
      <c r="E51" s="480"/>
      <c r="F51" s="480"/>
      <c r="G51" s="368">
        <f>'Cifras Historicas'!F28</f>
        <v>500430</v>
      </c>
      <c r="H51" s="368">
        <f>'Cifras Historicas'!G28</f>
        <v>595124</v>
      </c>
      <c r="I51" s="368">
        <f>'Cifras Historicas'!H28</f>
        <v>868092</v>
      </c>
      <c r="J51" s="368">
        <f>'Cifras Historicas'!I28</f>
        <v>772009</v>
      </c>
      <c r="K51" s="368">
        <f>'Cifras Historicas'!J28</f>
        <v>768312</v>
      </c>
      <c r="L51" s="368">
        <f t="shared" si="25"/>
        <v>729937.5046920001</v>
      </c>
      <c r="M51" s="368">
        <f t="shared" si="26"/>
        <v>801456.78140172246</v>
      </c>
      <c r="N51" s="368">
        <f t="shared" si="27"/>
        <v>870903.01151018159</v>
      </c>
      <c r="O51" s="368">
        <f t="shared" si="28"/>
        <v>941881.6069482615</v>
      </c>
      <c r="P51" s="368">
        <f t="shared" ref="P51:Q51" si="30">O51*(1+P$29)</f>
        <v>1014764.405693918</v>
      </c>
      <c r="Q51" s="368">
        <f t="shared" si="30"/>
        <v>1089106.0460550545</v>
      </c>
    </row>
    <row r="52" spans="2:37" ht="15.75">
      <c r="B52" s="480" t="s">
        <v>204</v>
      </c>
      <c r="C52" s="480"/>
      <c r="D52" s="480"/>
      <c r="E52" s="480"/>
      <c r="F52" s="480"/>
      <c r="G52" s="178">
        <f>'Cifras Historicas'!F29</f>
        <v>2542349</v>
      </c>
      <c r="H52" s="178">
        <f>'Cifras Historicas'!G29</f>
        <v>2621777</v>
      </c>
      <c r="I52" s="178">
        <f>'Cifras Historicas'!H29</f>
        <v>2565156</v>
      </c>
      <c r="J52" s="178">
        <f>'Cifras Historicas'!I29</f>
        <v>2663140</v>
      </c>
      <c r="K52" s="178">
        <f>'Cifras Historicas'!J29</f>
        <v>3044013</v>
      </c>
      <c r="L52" s="178">
        <f>SUM(L47:L51)</f>
        <v>2891975.2046955004</v>
      </c>
      <c r="M52" s="178">
        <f t="shared" ref="M52:Q52" si="31">SUM(M47:M51)</f>
        <v>3175330.9352515666</v>
      </c>
      <c r="N52" s="178">
        <f t="shared" si="31"/>
        <v>3450473.3607911142</v>
      </c>
      <c r="O52" s="178">
        <f t="shared" si="31"/>
        <v>3731686.9396955902</v>
      </c>
      <c r="P52" s="178">
        <f t="shared" ref="P52" si="32">SUM(P47:P51)</f>
        <v>4020444.8750892347</v>
      </c>
      <c r="Q52" s="178">
        <f t="shared" si="31"/>
        <v>4314982.6666382728</v>
      </c>
    </row>
    <row r="53" spans="2:37">
      <c r="B53" s="369"/>
      <c r="C53" s="369"/>
      <c r="D53" s="369"/>
      <c r="E53" s="369"/>
      <c r="F53" s="369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</row>
    <row r="54" spans="2:37" ht="15.75">
      <c r="B54" s="436" t="s">
        <v>4</v>
      </c>
      <c r="C54" s="436"/>
      <c r="D54" s="436"/>
      <c r="E54" s="436"/>
      <c r="F54" s="436"/>
      <c r="G54" s="176">
        <f>G45+G52</f>
        <v>26831875</v>
      </c>
      <c r="H54" s="176">
        <f>H45+H52</f>
        <v>17573017</v>
      </c>
      <c r="I54" s="176">
        <f>I45+I52</f>
        <v>18188171</v>
      </c>
      <c r="J54" s="176">
        <f>J45+J52</f>
        <v>20394516</v>
      </c>
      <c r="K54" s="176">
        <f>K45+K52</f>
        <v>24424705</v>
      </c>
      <c r="L54" s="177">
        <f t="shared" ref="L54:Q54" si="33">L45+L52</f>
        <v>23204776.471717503</v>
      </c>
      <c r="M54" s="177">
        <f t="shared" si="33"/>
        <v>25478380.470416389</v>
      </c>
      <c r="N54" s="177">
        <f t="shared" si="33"/>
        <v>27686082.138177961</v>
      </c>
      <c r="O54" s="177">
        <f t="shared" si="33"/>
        <v>29942497.832439475</v>
      </c>
      <c r="P54" s="177">
        <f t="shared" ref="P54" si="34">P45+P52</f>
        <v>32259448.314713642</v>
      </c>
      <c r="Q54" s="177">
        <f t="shared" si="33"/>
        <v>34622775.498249568</v>
      </c>
    </row>
    <row r="55" spans="2:37">
      <c r="B55" s="370"/>
    </row>
    <row r="56" spans="2:37">
      <c r="B56" s="464" t="s">
        <v>13</v>
      </c>
      <c r="C56" s="465"/>
      <c r="D56" s="465"/>
      <c r="E56" s="465"/>
      <c r="F56" s="465"/>
      <c r="G56" s="5"/>
      <c r="H56" s="5"/>
      <c r="I56" s="5"/>
      <c r="J56" s="5"/>
      <c r="K56" s="6"/>
      <c r="L56" s="345"/>
      <c r="M56" s="345"/>
      <c r="N56" s="345"/>
      <c r="O56" s="345"/>
      <c r="P56" s="345"/>
      <c r="Q56" s="345"/>
      <c r="S56" s="54"/>
      <c r="T56" s="54"/>
      <c r="U56" s="54"/>
      <c r="V56" s="54"/>
      <c r="W56" s="166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</row>
    <row r="57" spans="2:37" ht="15.75">
      <c r="B57" s="480" t="s">
        <v>205</v>
      </c>
      <c r="C57" s="480"/>
      <c r="D57" s="480"/>
      <c r="E57" s="480"/>
      <c r="F57" s="480"/>
      <c r="G57" s="368">
        <f>'Cifras Historicas'!F34</f>
        <v>5471054</v>
      </c>
      <c r="H57" s="368">
        <f>'Cifras Historicas'!G34</f>
        <v>5323898</v>
      </c>
      <c r="I57" s="368">
        <f>'Cifras Historicas'!H34</f>
        <v>4784801</v>
      </c>
      <c r="J57" s="368">
        <f>'Cifras Historicas'!I34</f>
        <v>2204331</v>
      </c>
      <c r="K57" s="368">
        <f>'Cifras Historicas'!J34</f>
        <v>1950000</v>
      </c>
      <c r="L57" s="368">
        <f>K57*(1+L$29)</f>
        <v>1852604.3250000002</v>
      </c>
      <c r="M57" s="368">
        <f t="shared" ref="M57:O57" si="35">L57*(1+M$29)</f>
        <v>2034122.4967635006</v>
      </c>
      <c r="N57" s="368">
        <f t="shared" si="35"/>
        <v>2210379.2111080578</v>
      </c>
      <c r="O57" s="368">
        <f t="shared" si="35"/>
        <v>2390525.1168133649</v>
      </c>
      <c r="P57" s="368">
        <f>O57*(1+P$29)</f>
        <v>2575503.9503523833</v>
      </c>
      <c r="Q57" s="368">
        <f>P57*(1+Q$29)</f>
        <v>2764185.3697551992</v>
      </c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</row>
    <row r="58" spans="2:37" ht="15.75">
      <c r="B58" s="480" t="s">
        <v>206</v>
      </c>
      <c r="C58" s="480"/>
      <c r="D58" s="480"/>
      <c r="E58" s="480"/>
      <c r="F58" s="480"/>
      <c r="G58" s="368">
        <f>'Cifras Historicas'!F35</f>
        <v>4150120</v>
      </c>
      <c r="H58" s="368">
        <f>'Cifras Historicas'!G35</f>
        <v>3690546</v>
      </c>
      <c r="I58" s="368">
        <f>'Cifras Historicas'!H35</f>
        <v>4623497</v>
      </c>
      <c r="J58" s="368">
        <f>'Cifras Historicas'!I35</f>
        <v>8431694</v>
      </c>
      <c r="K58" s="368">
        <f>'Cifras Historicas'!J35</f>
        <v>8777872</v>
      </c>
      <c r="L58" s="368">
        <f t="shared" ref="L58:L61" si="36">K58*(1+L$29)</f>
        <v>8339448.016152001</v>
      </c>
      <c r="M58" s="368">
        <f t="shared" ref="M58:M61" si="37">L58*(1+M$29)</f>
        <v>9156547.1327745747</v>
      </c>
      <c r="N58" s="368">
        <f t="shared" ref="N58:N61" si="38">M58*(1+N$29)</f>
        <v>9949961.9418294914</v>
      </c>
      <c r="O58" s="368">
        <f t="shared" ref="O58:O61" si="39">N58*(1+O$29)</f>
        <v>10760883.840088597</v>
      </c>
      <c r="P58" s="368">
        <f t="shared" ref="P58:Q58" si="40">O58*(1+P$29)</f>
        <v>11593561.031634653</v>
      </c>
      <c r="Q58" s="368">
        <f t="shared" si="40"/>
        <v>12442905.312812209</v>
      </c>
      <c r="S58" s="54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4"/>
      <c r="AE58" s="54"/>
      <c r="AF58" s="54"/>
      <c r="AG58" s="54"/>
      <c r="AH58" s="54"/>
      <c r="AI58" s="54"/>
      <c r="AJ58" s="54"/>
      <c r="AK58" s="54"/>
    </row>
    <row r="59" spans="2:37" ht="15.75">
      <c r="B59" s="480" t="s">
        <v>207</v>
      </c>
      <c r="C59" s="480"/>
      <c r="D59" s="480"/>
      <c r="E59" s="480"/>
      <c r="F59" s="480"/>
      <c r="G59" s="368">
        <f>'Cifras Historicas'!F36</f>
        <v>0</v>
      </c>
      <c r="H59" s="368">
        <f>'Cifras Historicas'!G36</f>
        <v>0</v>
      </c>
      <c r="I59" s="368">
        <f>'Cifras Historicas'!H36</f>
        <v>0</v>
      </c>
      <c r="J59" s="368">
        <f>'Cifras Historicas'!I36</f>
        <v>0</v>
      </c>
      <c r="K59" s="368">
        <f>'Cifras Historicas'!J36</f>
        <v>0</v>
      </c>
      <c r="L59" s="368">
        <f t="shared" si="36"/>
        <v>0</v>
      </c>
      <c r="M59" s="368">
        <f t="shared" si="37"/>
        <v>0</v>
      </c>
      <c r="N59" s="368">
        <f t="shared" si="38"/>
        <v>0</v>
      </c>
      <c r="O59" s="368">
        <f t="shared" si="39"/>
        <v>0</v>
      </c>
      <c r="P59" s="368">
        <f t="shared" ref="P59:Q59" si="41">O59*(1+P$29)</f>
        <v>0</v>
      </c>
      <c r="Q59" s="368">
        <f t="shared" si="41"/>
        <v>0</v>
      </c>
      <c r="S59" s="54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54"/>
      <c r="AE59" s="54"/>
      <c r="AF59" s="54"/>
      <c r="AG59" s="54"/>
      <c r="AH59" s="54"/>
      <c r="AI59" s="54"/>
      <c r="AJ59" s="54"/>
      <c r="AK59" s="54"/>
    </row>
    <row r="60" spans="2:37" ht="15.75">
      <c r="B60" s="480" t="s">
        <v>208</v>
      </c>
      <c r="C60" s="480"/>
      <c r="D60" s="480"/>
      <c r="E60" s="480"/>
      <c r="F60" s="480"/>
      <c r="G60" s="368">
        <f>'Cifras Historicas'!F37</f>
        <v>454170</v>
      </c>
      <c r="H60" s="368">
        <f>'Cifras Historicas'!G37</f>
        <v>270940</v>
      </c>
      <c r="I60" s="368">
        <f>'Cifras Historicas'!H37</f>
        <v>102321</v>
      </c>
      <c r="J60" s="368">
        <f>'Cifras Historicas'!I37</f>
        <v>100491</v>
      </c>
      <c r="K60" s="368">
        <f>'Cifras Historicas'!J37</f>
        <v>193963</v>
      </c>
      <c r="L60" s="368">
        <f t="shared" si="36"/>
        <v>184275.22702050002</v>
      </c>
      <c r="M60" s="368">
        <f t="shared" si="37"/>
        <v>202330.51376396866</v>
      </c>
      <c r="N60" s="368">
        <f t="shared" si="38"/>
        <v>219862.45278161651</v>
      </c>
      <c r="O60" s="368">
        <f t="shared" si="39"/>
        <v>237781.24268331827</v>
      </c>
      <c r="P60" s="368">
        <f t="shared" ref="P60:Q60" si="42">O60*(1+P$29)</f>
        <v>256180.75524215345</v>
      </c>
      <c r="Q60" s="368">
        <f t="shared" si="42"/>
        <v>274948.55737119366</v>
      </c>
      <c r="S60" s="166"/>
      <c r="T60" s="371"/>
      <c r="U60" s="371"/>
      <c r="V60" s="371"/>
      <c r="W60" s="371"/>
      <c r="X60" s="371"/>
      <c r="Y60" s="371"/>
      <c r="Z60" s="371"/>
      <c r="AA60" s="371"/>
      <c r="AB60" s="371"/>
      <c r="AC60" s="371"/>
      <c r="AD60" s="141"/>
      <c r="AE60" s="141"/>
      <c r="AF60" s="141"/>
      <c r="AG60" s="141"/>
      <c r="AH60" s="141"/>
      <c r="AI60" s="141"/>
      <c r="AJ60" s="141"/>
      <c r="AK60" s="141"/>
    </row>
    <row r="61" spans="2:37" ht="15.75">
      <c r="B61" s="480" t="s">
        <v>209</v>
      </c>
      <c r="C61" s="480"/>
      <c r="D61" s="480"/>
      <c r="E61" s="480"/>
      <c r="F61" s="480"/>
      <c r="G61" s="368">
        <f>'Cifras Historicas'!F38</f>
        <v>0</v>
      </c>
      <c r="H61" s="368">
        <f>'Cifras Historicas'!G38</f>
        <v>0</v>
      </c>
      <c r="I61" s="368">
        <f>'Cifras Historicas'!H38</f>
        <v>0</v>
      </c>
      <c r="J61" s="368">
        <f>'Cifras Historicas'!I38</f>
        <v>0</v>
      </c>
      <c r="K61" s="368">
        <f>'Cifras Historicas'!J38</f>
        <v>1286436</v>
      </c>
      <c r="L61" s="368">
        <f t="shared" si="36"/>
        <v>1222183.0243260001</v>
      </c>
      <c r="M61" s="368">
        <f t="shared" si="37"/>
        <v>1341932.5170494618</v>
      </c>
      <c r="N61" s="368">
        <f t="shared" si="38"/>
        <v>1458210.9696517976</v>
      </c>
      <c r="O61" s="368">
        <f t="shared" si="39"/>
        <v>1577055.1636784193</v>
      </c>
      <c r="P61" s="368">
        <f t="shared" ref="P61:Q61" si="43">O61*(1+P$29)</f>
        <v>1699087.6922438554</v>
      </c>
      <c r="Q61" s="368">
        <f t="shared" si="43"/>
        <v>1823562.8565776404</v>
      </c>
      <c r="S61" s="166"/>
      <c r="T61" s="54"/>
      <c r="U61" s="139"/>
      <c r="V61" s="139"/>
      <c r="W61" s="139"/>
      <c r="X61" s="139"/>
      <c r="Y61" s="139"/>
      <c r="Z61" s="139"/>
      <c r="AA61" s="139"/>
      <c r="AB61" s="139"/>
      <c r="AC61" s="139"/>
      <c r="AD61" s="141"/>
      <c r="AE61" s="141"/>
      <c r="AF61" s="141"/>
      <c r="AG61" s="141"/>
      <c r="AH61" s="141"/>
      <c r="AI61" s="141"/>
      <c r="AJ61" s="141"/>
      <c r="AK61" s="141"/>
    </row>
    <row r="62" spans="2:37" ht="15.75">
      <c r="B62" s="480" t="s">
        <v>5</v>
      </c>
      <c r="C62" s="480"/>
      <c r="D62" s="480"/>
      <c r="E62" s="480"/>
      <c r="F62" s="480"/>
      <c r="G62" s="178">
        <f>'Cifras Historicas'!F39</f>
        <v>10075344</v>
      </c>
      <c r="H62" s="178">
        <f>'Cifras Historicas'!G39</f>
        <v>9285384</v>
      </c>
      <c r="I62" s="178">
        <f>'Cifras Historicas'!H39</f>
        <v>9510619</v>
      </c>
      <c r="J62" s="178">
        <f>'Cifras Historicas'!I39</f>
        <v>10736516</v>
      </c>
      <c r="K62" s="178">
        <f>'Cifras Historicas'!J39</f>
        <v>12208271</v>
      </c>
      <c r="L62" s="178">
        <f>SUM(L57:L61)</f>
        <v>11598510.592498502</v>
      </c>
      <c r="M62" s="178">
        <f t="shared" ref="M62:Q62" si="44">SUM(M57:M61)</f>
        <v>12734932.660351506</v>
      </c>
      <c r="N62" s="178">
        <f t="shared" si="44"/>
        <v>13838414.575370964</v>
      </c>
      <c r="O62" s="178">
        <f t="shared" si="44"/>
        <v>14966245.363263698</v>
      </c>
      <c r="P62" s="178">
        <f t="shared" ref="P62" si="45">SUM(P57:P61)</f>
        <v>16124333.429473046</v>
      </c>
      <c r="Q62" s="178">
        <f t="shared" si="44"/>
        <v>17305602.096516244</v>
      </c>
      <c r="S62" s="166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141"/>
      <c r="AE62" s="141"/>
      <c r="AF62" s="141"/>
      <c r="AG62" s="141"/>
      <c r="AH62" s="141"/>
      <c r="AI62" s="141"/>
      <c r="AJ62" s="141"/>
      <c r="AK62" s="141"/>
    </row>
    <row r="63" spans="2:37">
      <c r="B63" s="464" t="s">
        <v>14</v>
      </c>
      <c r="C63" s="465"/>
      <c r="D63" s="465"/>
      <c r="E63" s="465"/>
      <c r="F63" s="465"/>
      <c r="G63" s="5"/>
      <c r="H63" s="5"/>
      <c r="I63" s="5"/>
      <c r="J63" s="5"/>
      <c r="K63" s="6"/>
      <c r="L63" s="345"/>
      <c r="M63" s="345"/>
      <c r="N63" s="345"/>
      <c r="O63" s="345"/>
      <c r="P63" s="345"/>
      <c r="Q63" s="345"/>
      <c r="S63" s="54"/>
      <c r="T63" s="54"/>
      <c r="U63" s="54"/>
      <c r="V63" s="54"/>
      <c r="W63" s="54"/>
      <c r="X63" s="54"/>
      <c r="Y63" s="372"/>
      <c r="Z63" s="372"/>
      <c r="AA63" s="372"/>
      <c r="AB63" s="372"/>
      <c r="AC63" s="372"/>
      <c r="AD63" s="54"/>
      <c r="AE63" s="54"/>
      <c r="AF63" s="54"/>
      <c r="AG63" s="54"/>
      <c r="AH63" s="54"/>
      <c r="AI63" s="54"/>
      <c r="AJ63" s="54"/>
      <c r="AK63" s="54"/>
    </row>
    <row r="64" spans="2:37" ht="15.75">
      <c r="B64" s="480" t="s">
        <v>205</v>
      </c>
      <c r="C64" s="480"/>
      <c r="D64" s="480"/>
      <c r="E64" s="480"/>
      <c r="F64" s="480"/>
      <c r="G64" s="368">
        <f>'Cifras Historicas'!F41</f>
        <v>0</v>
      </c>
      <c r="H64" s="368">
        <f>'Cifras Historicas'!G41</f>
        <v>0</v>
      </c>
      <c r="I64" s="368">
        <f>'Cifras Historicas'!H41</f>
        <v>0</v>
      </c>
      <c r="J64" s="368">
        <f>'Cifras Historicas'!I41</f>
        <v>0</v>
      </c>
      <c r="K64" s="368">
        <f>'Cifras Historicas'!J41</f>
        <v>0</v>
      </c>
      <c r="L64" s="368">
        <f>K64*(1+L$29)</f>
        <v>0</v>
      </c>
      <c r="M64" s="368">
        <f t="shared" ref="M64:O64" si="46">L64*(1+M$29)</f>
        <v>0</v>
      </c>
      <c r="N64" s="368">
        <f t="shared" si="46"/>
        <v>0</v>
      </c>
      <c r="O64" s="368">
        <f t="shared" si="46"/>
        <v>0</v>
      </c>
      <c r="P64" s="368">
        <f t="shared" ref="P64:Q66" si="47">N64*(1+P$29)</f>
        <v>0</v>
      </c>
      <c r="Q64" s="368">
        <f t="shared" si="47"/>
        <v>0</v>
      </c>
      <c r="S64" s="54"/>
      <c r="T64" s="139"/>
      <c r="U64" s="139"/>
      <c r="V64" s="139"/>
      <c r="W64" s="139"/>
      <c r="X64" s="139"/>
      <c r="Y64" s="373"/>
      <c r="Z64" s="373"/>
      <c r="AA64" s="373"/>
      <c r="AB64" s="373"/>
      <c r="AC64" s="373"/>
      <c r="AD64" s="141"/>
      <c r="AE64" s="141"/>
      <c r="AF64" s="141"/>
      <c r="AG64" s="141"/>
      <c r="AH64" s="141"/>
      <c r="AI64" s="141"/>
      <c r="AJ64" s="141"/>
      <c r="AK64" s="141"/>
    </row>
    <row r="65" spans="2:20" ht="15.75">
      <c r="B65" s="480" t="s">
        <v>210</v>
      </c>
      <c r="C65" s="480"/>
      <c r="D65" s="480"/>
      <c r="E65" s="480"/>
      <c r="F65" s="480"/>
      <c r="G65" s="368">
        <f>'Cifras Historicas'!F42</f>
        <v>0</v>
      </c>
      <c r="H65" s="368">
        <f>'Cifras Historicas'!G42</f>
        <v>0</v>
      </c>
      <c r="I65" s="368">
        <f>'Cifras Historicas'!H42</f>
        <v>0</v>
      </c>
      <c r="J65" s="368">
        <f>'Cifras Historicas'!I42</f>
        <v>0</v>
      </c>
      <c r="K65" s="368">
        <f>'Cifras Historicas'!J42</f>
        <v>0</v>
      </c>
      <c r="L65" s="368">
        <f>K65*(1+L$29)</f>
        <v>0</v>
      </c>
      <c r="M65" s="368">
        <f t="shared" ref="M65:O65" si="48">L65*(1+M$29)</f>
        <v>0</v>
      </c>
      <c r="N65" s="368">
        <f t="shared" si="48"/>
        <v>0</v>
      </c>
      <c r="O65" s="368">
        <f t="shared" si="48"/>
        <v>0</v>
      </c>
      <c r="P65" s="368">
        <f t="shared" si="47"/>
        <v>0</v>
      </c>
      <c r="Q65" s="368">
        <f t="shared" si="47"/>
        <v>0</v>
      </c>
    </row>
    <row r="66" spans="2:20" ht="15.75">
      <c r="B66" s="480" t="s">
        <v>209</v>
      </c>
      <c r="C66" s="480"/>
      <c r="D66" s="480"/>
      <c r="E66" s="480"/>
      <c r="F66" s="480"/>
      <c r="G66" s="368">
        <f>'Cifras Historicas'!F43</f>
        <v>0</v>
      </c>
      <c r="H66" s="368">
        <f>'Cifras Historicas'!G43</f>
        <v>0</v>
      </c>
      <c r="I66" s="368">
        <f>'Cifras Historicas'!H43</f>
        <v>0</v>
      </c>
      <c r="J66" s="368">
        <f>'Cifras Historicas'!I43</f>
        <v>0</v>
      </c>
      <c r="K66" s="368">
        <f>'Cifras Historicas'!J43</f>
        <v>0</v>
      </c>
      <c r="L66" s="368">
        <f>K66*(1+L$29)</f>
        <v>0</v>
      </c>
      <c r="M66" s="368">
        <f t="shared" ref="M66:O66" si="49">L66*(1+M$29)</f>
        <v>0</v>
      </c>
      <c r="N66" s="368">
        <f t="shared" si="49"/>
        <v>0</v>
      </c>
      <c r="O66" s="368">
        <f t="shared" si="49"/>
        <v>0</v>
      </c>
      <c r="P66" s="368">
        <f t="shared" si="47"/>
        <v>0</v>
      </c>
      <c r="Q66" s="368">
        <f t="shared" si="47"/>
        <v>0</v>
      </c>
    </row>
    <row r="67" spans="2:20" ht="15.75">
      <c r="B67" s="480" t="s">
        <v>6</v>
      </c>
      <c r="C67" s="480"/>
      <c r="D67" s="480"/>
      <c r="E67" s="480"/>
      <c r="F67" s="480"/>
      <c r="G67" s="178">
        <f>'Cifras Historicas'!F44</f>
        <v>0</v>
      </c>
      <c r="H67" s="178">
        <f>'Cifras Historicas'!G44</f>
        <v>0</v>
      </c>
      <c r="I67" s="178">
        <f>'Cifras Historicas'!H44</f>
        <v>0</v>
      </c>
      <c r="J67" s="178">
        <f>'Cifras Historicas'!I44</f>
        <v>0</v>
      </c>
      <c r="K67" s="178">
        <f>'Cifras Historicas'!J44</f>
        <v>0</v>
      </c>
      <c r="L67" s="178">
        <f>SUM(L64:L66)</f>
        <v>0</v>
      </c>
      <c r="M67" s="178">
        <f t="shared" ref="M67:Q67" si="50">SUM(M64:M66)</f>
        <v>0</v>
      </c>
      <c r="N67" s="178">
        <f t="shared" si="50"/>
        <v>0</v>
      </c>
      <c r="O67" s="178">
        <f t="shared" si="50"/>
        <v>0</v>
      </c>
      <c r="P67" s="178">
        <f t="shared" ref="P67" si="51">SUM(P64:P66)</f>
        <v>0</v>
      </c>
      <c r="Q67" s="178">
        <f t="shared" si="50"/>
        <v>0</v>
      </c>
    </row>
    <row r="68" spans="2:20">
      <c r="B68" s="370"/>
      <c r="C68" s="370"/>
      <c r="D68" s="370"/>
      <c r="E68" s="370"/>
      <c r="F68" s="370"/>
    </row>
    <row r="69" spans="2:20" ht="15.75">
      <c r="B69" s="436" t="s">
        <v>7</v>
      </c>
      <c r="C69" s="436"/>
      <c r="D69" s="436"/>
      <c r="E69" s="436"/>
      <c r="F69" s="436"/>
      <c r="G69" s="176">
        <f>G62+G67</f>
        <v>10075344</v>
      </c>
      <c r="H69" s="176">
        <f>H62+H67</f>
        <v>9285384</v>
      </c>
      <c r="I69" s="176">
        <f>I62+I67</f>
        <v>9510619</v>
      </c>
      <c r="J69" s="176">
        <f>J62+J67</f>
        <v>10736516</v>
      </c>
      <c r="K69" s="176">
        <f>K62+K67</f>
        <v>12208271</v>
      </c>
      <c r="L69" s="177">
        <f>SUM(L62,L67)</f>
        <v>11598510.592498502</v>
      </c>
      <c r="M69" s="177">
        <f t="shared" ref="M69:Q69" si="52">SUM(M62,M67)</f>
        <v>12734932.660351506</v>
      </c>
      <c r="N69" s="177">
        <f t="shared" si="52"/>
        <v>13838414.575370964</v>
      </c>
      <c r="O69" s="177">
        <f t="shared" si="52"/>
        <v>14966245.363263698</v>
      </c>
      <c r="P69" s="177">
        <f t="shared" ref="P69" si="53">SUM(P62,P67)</f>
        <v>16124333.429473046</v>
      </c>
      <c r="Q69" s="177">
        <f t="shared" si="52"/>
        <v>17305602.096516244</v>
      </c>
    </row>
    <row r="70" spans="2:20">
      <c r="B70" s="370"/>
    </row>
    <row r="71" spans="2:20">
      <c r="B71" s="464" t="s">
        <v>15</v>
      </c>
      <c r="C71" s="465"/>
      <c r="D71" s="465"/>
      <c r="E71" s="465"/>
      <c r="F71" s="465"/>
      <c r="G71" s="5"/>
      <c r="H71" s="5"/>
      <c r="I71" s="5"/>
      <c r="J71" s="5"/>
      <c r="K71" s="6"/>
      <c r="L71" s="345"/>
      <c r="M71" s="345"/>
      <c r="N71" s="345"/>
      <c r="O71" s="345"/>
      <c r="P71" s="345"/>
      <c r="Q71" s="345"/>
    </row>
    <row r="72" spans="2:20" ht="15.75">
      <c r="B72" s="480" t="s">
        <v>211</v>
      </c>
      <c r="C72" s="480"/>
      <c r="D72" s="480"/>
      <c r="E72" s="480"/>
      <c r="F72" s="480"/>
      <c r="G72" s="368">
        <f>'Cifras Historicas'!F49</f>
        <v>1405500</v>
      </c>
      <c r="H72" s="368">
        <f>'Cifras Historicas'!G49</f>
        <v>1405500</v>
      </c>
      <c r="I72" s="368">
        <f>'Cifras Historicas'!H49</f>
        <v>1405500</v>
      </c>
      <c r="J72" s="368">
        <f>'Cifras Historicas'!I49</f>
        <v>1405500</v>
      </c>
      <c r="K72" s="368">
        <f>'Cifras Historicas'!J49</f>
        <v>1405500</v>
      </c>
      <c r="L72" s="368">
        <f>K72</f>
        <v>1405500</v>
      </c>
      <c r="M72" s="368">
        <f t="shared" ref="M72:O72" si="54">L72</f>
        <v>1405500</v>
      </c>
      <c r="N72" s="368">
        <f t="shared" si="54"/>
        <v>1405500</v>
      </c>
      <c r="O72" s="368">
        <f t="shared" si="54"/>
        <v>1405500</v>
      </c>
      <c r="P72" s="368">
        <f>O72</f>
        <v>1405500</v>
      </c>
      <c r="Q72" s="368">
        <f>P72</f>
        <v>1405500</v>
      </c>
    </row>
    <row r="73" spans="2:20" ht="15.75">
      <c r="B73" s="480" t="s">
        <v>212</v>
      </c>
      <c r="C73" s="480"/>
      <c r="D73" s="480"/>
      <c r="E73" s="480"/>
      <c r="F73" s="480"/>
      <c r="G73" s="368">
        <f>'Cifras Historicas'!F50</f>
        <v>0</v>
      </c>
      <c r="H73" s="368">
        <f>'Cifras Historicas'!G50</f>
        <v>0</v>
      </c>
      <c r="I73" s="368">
        <f>'Cifras Historicas'!H50</f>
        <v>0</v>
      </c>
      <c r="J73" s="368">
        <f>'Cifras Historicas'!I50</f>
        <v>0</v>
      </c>
      <c r="K73" s="368">
        <f>'Cifras Historicas'!J50</f>
        <v>391380</v>
      </c>
      <c r="L73" s="368">
        <f t="shared" ref="L73:L75" si="55">K73</f>
        <v>391380</v>
      </c>
      <c r="M73" s="368">
        <f t="shared" ref="M73:M75" si="56">L73</f>
        <v>391380</v>
      </c>
      <c r="N73" s="368">
        <f t="shared" ref="N73:N75" si="57">M73</f>
        <v>391380</v>
      </c>
      <c r="O73" s="368">
        <f t="shared" ref="O73:O75" si="58">N73</f>
        <v>391380</v>
      </c>
      <c r="P73" s="368">
        <f t="shared" ref="P73:Q73" si="59">O73</f>
        <v>391380</v>
      </c>
      <c r="Q73" s="368">
        <f t="shared" si="59"/>
        <v>391380</v>
      </c>
    </row>
    <row r="74" spans="2:20" ht="15.75">
      <c r="B74" s="480" t="s">
        <v>213</v>
      </c>
      <c r="C74" s="480"/>
      <c r="D74" s="480"/>
      <c r="E74" s="480"/>
      <c r="F74" s="480"/>
      <c r="G74" s="368">
        <f>'Cifras Historicas'!F51</f>
        <v>683048</v>
      </c>
      <c r="H74" s="368">
        <f>'Cifras Historicas'!G51</f>
        <v>683048</v>
      </c>
      <c r="I74" s="368">
        <f>'Cifras Historicas'!H51</f>
        <v>683048</v>
      </c>
      <c r="J74" s="368">
        <f>'Cifras Historicas'!I51</f>
        <v>428717</v>
      </c>
      <c r="K74" s="368">
        <f>'Cifras Historicas'!J51</f>
        <v>683048</v>
      </c>
      <c r="L74" s="368">
        <v>72879.879218999296</v>
      </c>
      <c r="M74" s="368">
        <v>1210061.810064882</v>
      </c>
      <c r="N74" s="368">
        <v>2314281.5628069974</v>
      </c>
      <c r="O74" s="368">
        <v>3442866.4691757783</v>
      </c>
      <c r="P74" s="368">
        <v>4601728.8852405958</v>
      </c>
      <c r="Q74" s="368">
        <v>5783787.4017333239</v>
      </c>
    </row>
    <row r="75" spans="2:20" ht="15.75">
      <c r="B75" s="480" t="s">
        <v>214</v>
      </c>
      <c r="C75" s="480"/>
      <c r="D75" s="480"/>
      <c r="E75" s="480"/>
      <c r="F75" s="480"/>
      <c r="G75" s="368">
        <f>'Cifras Historicas'!F52</f>
        <v>14667983</v>
      </c>
      <c r="H75" s="368">
        <f>'Cifras Historicas'!G52</f>
        <v>6199085</v>
      </c>
      <c r="I75" s="368">
        <f>'Cifras Historicas'!H52</f>
        <v>6589004</v>
      </c>
      <c r="J75" s="368">
        <f>'Cifras Historicas'!I52</f>
        <v>7823783</v>
      </c>
      <c r="K75" s="368">
        <f>'Cifras Historicas'!J52</f>
        <v>9736506</v>
      </c>
      <c r="L75" s="368">
        <f t="shared" si="55"/>
        <v>9736506</v>
      </c>
      <c r="M75" s="368">
        <f t="shared" si="56"/>
        <v>9736506</v>
      </c>
      <c r="N75" s="368">
        <f t="shared" si="57"/>
        <v>9736506</v>
      </c>
      <c r="O75" s="368">
        <f t="shared" si="58"/>
        <v>9736506</v>
      </c>
      <c r="P75" s="368">
        <f t="shared" ref="P75:Q75" si="60">O75</f>
        <v>9736506</v>
      </c>
      <c r="Q75" s="368">
        <f t="shared" si="60"/>
        <v>9736506</v>
      </c>
    </row>
    <row r="76" spans="2:20" ht="15.75">
      <c r="B76" s="480" t="s">
        <v>8</v>
      </c>
      <c r="C76" s="480"/>
      <c r="D76" s="480"/>
      <c r="E76" s="480"/>
      <c r="F76" s="480"/>
      <c r="G76" s="178">
        <f>'Cifras Historicas'!F53</f>
        <v>16756531</v>
      </c>
      <c r="H76" s="178">
        <f>'Cifras Historicas'!G53</f>
        <v>8287633</v>
      </c>
      <c r="I76" s="178">
        <f>'Cifras Historicas'!H53</f>
        <v>8677552</v>
      </c>
      <c r="J76" s="178">
        <f>'Cifras Historicas'!I53</f>
        <v>9658000</v>
      </c>
      <c r="K76" s="178">
        <f>'Cifras Historicas'!J53</f>
        <v>12216434</v>
      </c>
      <c r="L76" s="178">
        <f>SUM(L72:L75)</f>
        <v>11606265.879218999</v>
      </c>
      <c r="M76" s="178">
        <f t="shared" ref="M76:Q76" si="61">SUM(M72:M75)</f>
        <v>12743447.810064882</v>
      </c>
      <c r="N76" s="178">
        <f t="shared" si="61"/>
        <v>13847667.562806997</v>
      </c>
      <c r="O76" s="178">
        <f t="shared" si="61"/>
        <v>14976252.469175778</v>
      </c>
      <c r="P76" s="178">
        <f t="shared" ref="P76" si="62">SUM(P72:P75)</f>
        <v>16135114.885240596</v>
      </c>
      <c r="Q76" s="178">
        <f t="shared" si="61"/>
        <v>17317173.401733324</v>
      </c>
    </row>
    <row r="77" spans="2:20">
      <c r="B77" s="369"/>
      <c r="C77" s="369"/>
      <c r="D77" s="369"/>
      <c r="E77" s="369"/>
      <c r="F77" s="369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</row>
    <row r="78" spans="2:20" ht="15.75">
      <c r="B78" s="436" t="s">
        <v>9</v>
      </c>
      <c r="C78" s="436"/>
      <c r="D78" s="436"/>
      <c r="E78" s="436"/>
      <c r="F78" s="436"/>
      <c r="G78" s="176">
        <f>G69+G76</f>
        <v>26831875</v>
      </c>
      <c r="H78" s="176">
        <f>H69+H76</f>
        <v>17573017</v>
      </c>
      <c r="I78" s="176">
        <f>I69+I76</f>
        <v>18188171</v>
      </c>
      <c r="J78" s="176">
        <f>J69+J76</f>
        <v>20394516</v>
      </c>
      <c r="K78" s="176">
        <f>K69+K76</f>
        <v>24424705</v>
      </c>
      <c r="L78" s="177">
        <f t="shared" ref="L78:Q78" si="63">L69+L76</f>
        <v>23204776.471717499</v>
      </c>
      <c r="M78" s="177">
        <f t="shared" si="63"/>
        <v>25478380.470416389</v>
      </c>
      <c r="N78" s="177">
        <f t="shared" si="63"/>
        <v>27686082.138177961</v>
      </c>
      <c r="O78" s="177">
        <f t="shared" si="63"/>
        <v>29942497.832439475</v>
      </c>
      <c r="P78" s="177">
        <f t="shared" ref="P78" si="64">P69+P76</f>
        <v>32259448.314713642</v>
      </c>
      <c r="Q78" s="177">
        <f t="shared" si="63"/>
        <v>34622775.498249568</v>
      </c>
    </row>
    <row r="79" spans="2:20" ht="15.75">
      <c r="G79" s="374"/>
      <c r="L79" s="374"/>
      <c r="M79" s="374"/>
      <c r="N79" s="374"/>
      <c r="O79" s="374"/>
      <c r="P79" s="374"/>
      <c r="Q79" s="374"/>
      <c r="S79" s="533"/>
      <c r="T79" s="533"/>
    </row>
    <row r="80" spans="2:20" ht="15.75">
      <c r="B80" s="466" t="s">
        <v>16</v>
      </c>
      <c r="C80" s="467"/>
      <c r="D80" s="467"/>
      <c r="E80" s="467"/>
      <c r="F80" s="468"/>
      <c r="G80" s="165">
        <f t="shared" ref="G80:Q80" si="65">G54-G78</f>
        <v>0</v>
      </c>
      <c r="H80" s="165">
        <f t="shared" si="65"/>
        <v>0</v>
      </c>
      <c r="I80" s="165">
        <f t="shared" si="65"/>
        <v>0</v>
      </c>
      <c r="J80" s="165">
        <f t="shared" si="65"/>
        <v>0</v>
      </c>
      <c r="K80" s="165">
        <f t="shared" si="65"/>
        <v>0</v>
      </c>
      <c r="L80" s="189">
        <f t="shared" si="65"/>
        <v>0</v>
      </c>
      <c r="M80" s="189">
        <f t="shared" si="65"/>
        <v>0</v>
      </c>
      <c r="N80" s="189">
        <f t="shared" si="65"/>
        <v>0</v>
      </c>
      <c r="O80" s="189">
        <f t="shared" si="65"/>
        <v>0</v>
      </c>
      <c r="P80" s="189">
        <f t="shared" ref="P80" si="66">P54-P78</f>
        <v>0</v>
      </c>
      <c r="Q80" s="189">
        <f t="shared" si="65"/>
        <v>0</v>
      </c>
    </row>
    <row r="82" spans="2:17" ht="15.75" thickBot="1"/>
    <row r="83" spans="2:17" ht="15.75" thickBot="1">
      <c r="B83" s="502" t="s">
        <v>25</v>
      </c>
      <c r="C83" s="503"/>
      <c r="D83" s="503"/>
      <c r="E83" s="503"/>
      <c r="F83" s="503"/>
      <c r="G83" s="169">
        <f>'Cifras Historicas'!F63</f>
        <v>2015</v>
      </c>
      <c r="H83" s="169">
        <f>'Cifras Historicas'!G63</f>
        <v>2016</v>
      </c>
      <c r="I83" s="169">
        <f>'Cifras Historicas'!H63</f>
        <v>2017</v>
      </c>
      <c r="J83" s="169">
        <f>'Cifras Historicas'!I63</f>
        <v>2018</v>
      </c>
      <c r="K83" s="226">
        <f>'Cifras Historicas'!J63</f>
        <v>2019</v>
      </c>
      <c r="L83" s="44">
        <f t="shared" ref="L83:Q83" si="67">L38</f>
        <v>2020</v>
      </c>
      <c r="M83" s="45">
        <f t="shared" si="67"/>
        <v>2021</v>
      </c>
      <c r="N83" s="45">
        <f t="shared" si="67"/>
        <v>2022</v>
      </c>
      <c r="O83" s="45">
        <f t="shared" si="67"/>
        <v>2023</v>
      </c>
      <c r="P83" s="46">
        <f t="shared" si="67"/>
        <v>2024</v>
      </c>
      <c r="Q83" s="46">
        <f t="shared" si="67"/>
        <v>2025</v>
      </c>
    </row>
    <row r="84" spans="2:17">
      <c r="B84" s="504" t="s">
        <v>22</v>
      </c>
      <c r="C84" s="505"/>
      <c r="D84" s="505"/>
      <c r="E84" s="505"/>
      <c r="F84" s="505"/>
      <c r="G84" s="225"/>
      <c r="H84" s="225"/>
      <c r="I84" s="225"/>
      <c r="J84" s="225"/>
      <c r="K84" s="225"/>
      <c r="L84" s="499"/>
      <c r="M84" s="500"/>
      <c r="N84" s="500"/>
      <c r="O84" s="500"/>
      <c r="P84" s="500"/>
      <c r="Q84" s="501"/>
    </row>
    <row r="85" spans="2:17" ht="15.75">
      <c r="B85" s="506" t="s">
        <v>215</v>
      </c>
      <c r="C85" s="507"/>
      <c r="D85" s="507"/>
      <c r="E85" s="507"/>
      <c r="F85" s="508"/>
      <c r="G85" s="368">
        <f>'Cifras Historicas'!F65</f>
        <v>38715485</v>
      </c>
      <c r="H85" s="368">
        <f>'Cifras Historicas'!G65</f>
        <v>28632157</v>
      </c>
      <c r="I85" s="368">
        <f>'Cifras Historicas'!H65</f>
        <v>35125738</v>
      </c>
      <c r="J85" s="368">
        <f>'Cifras Historicas'!I65</f>
        <v>41528969</v>
      </c>
      <c r="K85" s="368">
        <f>'Cifras Historicas'!J65</f>
        <v>47339770</v>
      </c>
      <c r="L85" s="368">
        <f>K85*(1+L$29)</f>
        <v>44975314.177695006</v>
      </c>
      <c r="M85" s="368">
        <f t="shared" ref="M85:O85" si="68">L85*(1+M$29)</f>
        <v>49381995.46082557</v>
      </c>
      <c r="N85" s="368">
        <f t="shared" si="68"/>
        <v>53660945.367506102</v>
      </c>
      <c r="O85" s="368">
        <f t="shared" si="68"/>
        <v>58034312.414957859</v>
      </c>
      <c r="P85" s="368">
        <f>O85*(1+P$29)</f>
        <v>62525007.509627298</v>
      </c>
      <c r="Q85" s="368">
        <f>P85*(1+Q$29)</f>
        <v>67105589.559782602</v>
      </c>
    </row>
    <row r="86" spans="2:17" ht="15.75">
      <c r="B86" s="506" t="s">
        <v>216</v>
      </c>
      <c r="C86" s="507"/>
      <c r="D86" s="507"/>
      <c r="E86" s="507"/>
      <c r="F86" s="508"/>
      <c r="G86" s="375">
        <f>'Cifras Historicas'!F66</f>
        <v>33505579</v>
      </c>
      <c r="H86" s="375">
        <f>'Cifras Historicas'!G66</f>
        <v>28101039</v>
      </c>
      <c r="I86" s="375">
        <f>'Cifras Historicas'!H66</f>
        <v>31960144</v>
      </c>
      <c r="J86" s="368">
        <f>'Cifras Historicas'!I66</f>
        <v>36875646</v>
      </c>
      <c r="K86" s="368">
        <f>'Cifras Historicas'!J66</f>
        <v>39542834</v>
      </c>
      <c r="L86" s="368">
        <f t="shared" ref="L86" si="69">K86*(1+L$29)</f>
        <v>37567807.841619007</v>
      </c>
      <c r="M86" s="368">
        <f t="shared" ref="M86" si="70">L86*(1+M$29)</f>
        <v>41248701.653940842</v>
      </c>
      <c r="N86" s="368">
        <f>M86*(1+N$29)</f>
        <v>44822901.652254812</v>
      </c>
      <c r="O86" s="368">
        <f t="shared" ref="O86:Q86" si="71">N86*(1+O$29)</f>
        <v>48475968.136913583</v>
      </c>
      <c r="P86" s="368">
        <f t="shared" si="71"/>
        <v>52227038.551347956</v>
      </c>
      <c r="Q86" s="368">
        <f t="shared" si="71"/>
        <v>56053191.395619713</v>
      </c>
    </row>
    <row r="87" spans="2:17" ht="15.75">
      <c r="B87" s="463" t="s">
        <v>19</v>
      </c>
      <c r="C87" s="463"/>
      <c r="D87" s="463"/>
      <c r="E87" s="463"/>
      <c r="F87" s="463"/>
      <c r="G87" s="347">
        <f t="shared" ref="G87:K87" si="72">G85-G86</f>
        <v>5209906</v>
      </c>
      <c r="H87" s="347">
        <f t="shared" si="72"/>
        <v>531118</v>
      </c>
      <c r="I87" s="347">
        <f t="shared" si="72"/>
        <v>3165594</v>
      </c>
      <c r="J87" s="347">
        <f t="shared" si="72"/>
        <v>4653323</v>
      </c>
      <c r="K87" s="347">
        <f t="shared" si="72"/>
        <v>7796936</v>
      </c>
      <c r="L87" s="347">
        <f>L85-L86</f>
        <v>7407506.3360759988</v>
      </c>
      <c r="M87" s="347">
        <f t="shared" ref="M87:Q87" si="73">M85-M86</f>
        <v>8133293.8068847284</v>
      </c>
      <c r="N87" s="347">
        <f t="shared" si="73"/>
        <v>8838043.7152512893</v>
      </c>
      <c r="O87" s="347">
        <f t="shared" si="73"/>
        <v>9558344.2780442759</v>
      </c>
      <c r="P87" s="347">
        <f t="shared" ref="P87" si="74">P85-P86</f>
        <v>10297968.958279341</v>
      </c>
      <c r="Q87" s="347">
        <f t="shared" si="73"/>
        <v>11052398.164162889</v>
      </c>
    </row>
    <row r="88" spans="2:17" ht="15.75">
      <c r="B88" s="480" t="s">
        <v>217</v>
      </c>
      <c r="C88" s="480"/>
      <c r="D88" s="480"/>
      <c r="E88" s="480"/>
      <c r="F88" s="480"/>
      <c r="G88" s="375">
        <f>'Cifras Historicas'!F68</f>
        <v>2164509</v>
      </c>
      <c r="H88" s="375">
        <f>'Cifras Historicas'!G68</f>
        <v>2390236</v>
      </c>
      <c r="I88" s="375">
        <f>'Cifras Historicas'!H68</f>
        <v>2254844</v>
      </c>
      <c r="J88" s="375">
        <f>'Cifras Historicas'!I68</f>
        <v>2298706</v>
      </c>
      <c r="K88" s="375">
        <f>'Cifras Historicas'!J68</f>
        <v>2838368</v>
      </c>
      <c r="L88" s="375">
        <f>L85*'Cifras Historicas'!$P$68</f>
        <v>2691063.9486956554</v>
      </c>
      <c r="M88" s="375">
        <f>M85*'Cifras Historicas'!$P$68</f>
        <v>2954734.3943888564</v>
      </c>
      <c r="N88" s="375">
        <f>N85*'Cifras Historicas'!$P$68</f>
        <v>3210762.1296626506</v>
      </c>
      <c r="O88" s="375">
        <f>O85*'Cifras Historicas'!$P$68</f>
        <v>3472439.2432301571</v>
      </c>
      <c r="P88" s="375">
        <f>P85*'Cifras Historicas'!$P$68</f>
        <v>3741136.5918713068</v>
      </c>
      <c r="Q88" s="375">
        <f>Q85*'Cifras Historicas'!$P$68</f>
        <v>4015212.2585917991</v>
      </c>
    </row>
    <row r="89" spans="2:17" ht="15.75">
      <c r="B89" s="480" t="s">
        <v>218</v>
      </c>
      <c r="C89" s="480"/>
      <c r="D89" s="480"/>
      <c r="E89" s="480"/>
      <c r="F89" s="480"/>
      <c r="G89" s="375">
        <f>'Cifras Historicas'!F69</f>
        <v>946717</v>
      </c>
      <c r="H89" s="375">
        <f>'Cifras Historicas'!G69</f>
        <v>579542</v>
      </c>
      <c r="I89" s="375">
        <f>'Cifras Historicas'!H69</f>
        <v>528433</v>
      </c>
      <c r="J89" s="375">
        <f>'Cifras Historicas'!I69</f>
        <v>586174</v>
      </c>
      <c r="K89" s="375">
        <f>'Cifras Historicas'!J69</f>
        <v>863533</v>
      </c>
      <c r="L89" s="375">
        <f>L85*'Cifras Historicas'!$P$69</f>
        <v>710610.50440265797</v>
      </c>
      <c r="M89" s="375">
        <f>M85*'Cifras Historicas'!$P$69</f>
        <v>780236.12162403052</v>
      </c>
      <c r="N89" s="375">
        <f>N85*'Cifras Historicas'!$P$69</f>
        <v>847843.58156275272</v>
      </c>
      <c r="O89" s="375">
        <f>O85*'Cifras Historicas'!$P$69</f>
        <v>916942.83346011722</v>
      </c>
      <c r="P89" s="375">
        <f>P85*'Cifras Historicas'!$P$69</f>
        <v>987895.86991326103</v>
      </c>
      <c r="Q89" s="375">
        <f>Q85*'Cifras Historicas'!$P$69</f>
        <v>1060269.1213431067</v>
      </c>
    </row>
    <row r="90" spans="2:17" ht="15.75">
      <c r="B90" s="463" t="s">
        <v>20</v>
      </c>
      <c r="C90" s="463"/>
      <c r="D90" s="463"/>
      <c r="E90" s="463"/>
      <c r="F90" s="463"/>
      <c r="G90" s="347">
        <f t="shared" ref="G90:K90" si="75">G87-G88-G89</f>
        <v>2098680</v>
      </c>
      <c r="H90" s="347">
        <f t="shared" si="75"/>
        <v>-2438660</v>
      </c>
      <c r="I90" s="347">
        <f t="shared" si="75"/>
        <v>382317</v>
      </c>
      <c r="J90" s="347">
        <f t="shared" si="75"/>
        <v>1768443</v>
      </c>
      <c r="K90" s="347">
        <f t="shared" si="75"/>
        <v>4095035</v>
      </c>
      <c r="L90" s="347">
        <f>L87-L88-L89</f>
        <v>4005831.882977685</v>
      </c>
      <c r="M90" s="347">
        <f t="shared" ref="M90:Q90" si="76">M87-M88-M89</f>
        <v>4398323.2908718418</v>
      </c>
      <c r="N90" s="347">
        <f t="shared" si="76"/>
        <v>4779438.0040258858</v>
      </c>
      <c r="O90" s="347">
        <f t="shared" si="76"/>
        <v>5168962.2013540026</v>
      </c>
      <c r="P90" s="347">
        <f t="shared" ref="P90" si="77">P87-P88-P89</f>
        <v>5568936.4964947738</v>
      </c>
      <c r="Q90" s="347">
        <f t="shared" si="76"/>
        <v>5976916.7842279831</v>
      </c>
    </row>
    <row r="91" spans="2:17">
      <c r="B91" s="464" t="s">
        <v>23</v>
      </c>
      <c r="C91" s="465"/>
      <c r="D91" s="465"/>
      <c r="E91" s="465"/>
      <c r="F91" s="465"/>
      <c r="G91" s="5"/>
      <c r="H91" s="5"/>
      <c r="I91" s="5"/>
      <c r="J91" s="5"/>
      <c r="K91" s="6"/>
      <c r="L91" s="345"/>
      <c r="M91" s="345"/>
      <c r="N91" s="345"/>
      <c r="O91" s="345"/>
      <c r="P91" s="345"/>
      <c r="Q91" s="345"/>
    </row>
    <row r="92" spans="2:17" ht="15.75">
      <c r="B92" s="480" t="s">
        <v>219</v>
      </c>
      <c r="C92" s="480"/>
      <c r="D92" s="480"/>
      <c r="E92" s="480"/>
      <c r="F92" s="480"/>
      <c r="G92" s="368">
        <f>'Cifras Historicas'!F72</f>
        <v>8050815</v>
      </c>
      <c r="H92" s="368">
        <f>'Cifras Historicas'!G72</f>
        <v>6196524</v>
      </c>
      <c r="I92" s="368">
        <f>'Cifras Historicas'!H72</f>
        <v>1358789</v>
      </c>
      <c r="J92" s="375">
        <f>'Cifras Historicas'!I72</f>
        <v>63706</v>
      </c>
      <c r="K92" s="375">
        <f>'Cifras Historicas'!J72</f>
        <v>-358507</v>
      </c>
      <c r="L92" s="368">
        <f>L85*'Cifras Historicas'!$P$72</f>
        <v>489399.23167313635</v>
      </c>
      <c r="M92" s="368">
        <f>M85*'Cifras Historicas'!$P$72</f>
        <v>537350.56839247036</v>
      </c>
      <c r="N92" s="368">
        <f>N85*'Cifras Historicas'!$P$72</f>
        <v>583911.99514367781</v>
      </c>
      <c r="O92" s="375">
        <f>O85*'Cifras Historicas'!$P$72</f>
        <v>631500.82274788769</v>
      </c>
      <c r="P92" s="375">
        <f>P85*'Cifras Historicas'!$P$72</f>
        <v>680366.35641211923</v>
      </c>
      <c r="Q92" s="375">
        <f>Q85*'Cifras Historicas'!$P$72</f>
        <v>730209.9956828712</v>
      </c>
    </row>
    <row r="93" spans="2:17" ht="15.75">
      <c r="B93" s="480" t="s">
        <v>220</v>
      </c>
      <c r="C93" s="480"/>
      <c r="D93" s="480"/>
      <c r="E93" s="480"/>
      <c r="F93" s="480"/>
      <c r="G93" s="375">
        <f>'Cifras Historicas'!F73</f>
        <v>188288</v>
      </c>
      <c r="H93" s="375">
        <f>'Cifras Historicas'!G73</f>
        <v>11720</v>
      </c>
      <c r="I93" s="375">
        <f>'Cifras Historicas'!H73</f>
        <v>76445</v>
      </c>
      <c r="J93" s="375">
        <f>'Cifras Historicas'!I73</f>
        <v>0</v>
      </c>
      <c r="K93" s="375">
        <f>'Cifras Historicas'!J73</f>
        <v>144126</v>
      </c>
      <c r="L93" s="368">
        <f>L85*'Cifras Historicas'!$P$73</f>
        <v>78269.427838741758</v>
      </c>
      <c r="M93" s="368">
        <f>M85*'Cifras Historicas'!$P$73</f>
        <v>85938.266378381682</v>
      </c>
      <c r="N93" s="368">
        <f>N85*'Cifras Historicas'!$P$73</f>
        <v>93384.817160068458</v>
      </c>
      <c r="O93" s="368">
        <f>O85*'Cifras Historicas'!$P$73</f>
        <v>100995.67975861405</v>
      </c>
      <c r="P93" s="368">
        <f>P85*'Cifras Historicas'!$P$73</f>
        <v>108810.7254583356</v>
      </c>
      <c r="Q93" s="368">
        <f>Q85*'Cifras Historicas'!$P$73</f>
        <v>116782.19920541329</v>
      </c>
    </row>
    <row r="94" spans="2:17" ht="15.75">
      <c r="B94" s="480" t="s">
        <v>221</v>
      </c>
      <c r="C94" s="480"/>
      <c r="D94" s="480"/>
      <c r="E94" s="480"/>
      <c r="F94" s="480"/>
      <c r="G94" s="375">
        <f>'Cifras Historicas'!F74</f>
        <v>6624280</v>
      </c>
      <c r="H94" s="375">
        <f>'Cifras Historicas'!G74</f>
        <v>6229530</v>
      </c>
      <c r="I94" s="375">
        <f>'Cifras Historicas'!H74</f>
        <v>1459144</v>
      </c>
      <c r="J94" s="375">
        <f>'Cifras Historicas'!I74</f>
        <v>296887</v>
      </c>
      <c r="K94" s="375">
        <f>'Cifras Historicas'!J74</f>
        <v>530857</v>
      </c>
      <c r="L94" s="368">
        <f>L85*'Cifras Historicas'!$P$74</f>
        <v>898056.13764912321</v>
      </c>
      <c r="M94" s="368">
        <f>M85*'Cifras Historicas'!$P$74</f>
        <v>986047.67801598448</v>
      </c>
      <c r="N94" s="368">
        <f>N85*'Cifras Historicas'!$P$74</f>
        <v>1071488.7093160695</v>
      </c>
      <c r="O94" s="368">
        <f>O85*'Cifras Historicas'!$P$74</f>
        <v>1158815.0391253293</v>
      </c>
      <c r="P94" s="368">
        <f>P85*'Cifras Historicas'!$P$74</f>
        <v>1248484.1468528472</v>
      </c>
      <c r="Q94" s="368">
        <f>Q85*'Cifras Historicas'!$P$74</f>
        <v>1339948.095451287</v>
      </c>
    </row>
    <row r="95" spans="2:17">
      <c r="B95" s="464" t="s">
        <v>24</v>
      </c>
      <c r="C95" s="465"/>
      <c r="D95" s="465"/>
      <c r="E95" s="465"/>
      <c r="F95" s="465"/>
      <c r="G95" s="5"/>
      <c r="H95" s="5"/>
      <c r="I95" s="5"/>
      <c r="J95" s="5"/>
      <c r="K95" s="6"/>
      <c r="L95" s="345"/>
      <c r="M95" s="345"/>
      <c r="N95" s="345"/>
      <c r="O95" s="345"/>
      <c r="P95" s="345"/>
      <c r="Q95" s="345"/>
    </row>
    <row r="96" spans="2:17" ht="15.75">
      <c r="B96" s="463" t="s">
        <v>21</v>
      </c>
      <c r="C96" s="463"/>
      <c r="D96" s="463"/>
      <c r="E96" s="463"/>
      <c r="F96" s="463"/>
      <c r="G96" s="347">
        <f t="shared" ref="G96:L96" si="78">G90+G92-G93-G94</f>
        <v>3336927</v>
      </c>
      <c r="H96" s="347">
        <f t="shared" si="78"/>
        <v>-2483386</v>
      </c>
      <c r="I96" s="347">
        <f t="shared" si="78"/>
        <v>205517</v>
      </c>
      <c r="J96" s="347">
        <f t="shared" si="78"/>
        <v>1535262</v>
      </c>
      <c r="K96" s="347">
        <f t="shared" si="78"/>
        <v>3061545</v>
      </c>
      <c r="L96" s="347">
        <f t="shared" si="78"/>
        <v>3518905.5491629564</v>
      </c>
      <c r="M96" s="347">
        <f t="shared" ref="M96:Q96" si="79">M90+M92-M93-M94</f>
        <v>3863687.9148699464</v>
      </c>
      <c r="N96" s="347">
        <f t="shared" si="79"/>
        <v>4198476.4726934265</v>
      </c>
      <c r="O96" s="347">
        <f t="shared" si="79"/>
        <v>4540652.3052179478</v>
      </c>
      <c r="P96" s="347">
        <f t="shared" ref="P96" si="80">P90+P92-P93-P94</f>
        <v>4892007.9805957098</v>
      </c>
      <c r="Q96" s="347">
        <f t="shared" si="79"/>
        <v>5250396.4852541536</v>
      </c>
    </row>
    <row r="97" spans="2:17" ht="15.75">
      <c r="B97" s="480" t="s">
        <v>222</v>
      </c>
      <c r="C97" s="480"/>
      <c r="D97" s="480"/>
      <c r="E97" s="480"/>
      <c r="F97" s="480"/>
      <c r="G97" s="375">
        <f>'Cifras Historicas'!F77</f>
        <v>1602245</v>
      </c>
      <c r="H97" s="375">
        <f>'Cifras Historicas'!G77</f>
        <v>162667</v>
      </c>
      <c r="I97" s="375">
        <f>'Cifras Historicas'!H77</f>
        <v>-184402</v>
      </c>
      <c r="J97" s="375">
        <f>'Cifras Historicas'!I77</f>
        <v>300483</v>
      </c>
      <c r="K97" s="375">
        <f>'Cifras Historicas'!J77</f>
        <v>1148822</v>
      </c>
      <c r="L97" s="368">
        <f>L85*'Cifras Historicas'!$P$77</f>
        <v>393583.80259248172</v>
      </c>
      <c r="M97" s="368">
        <f>M85*'Cifras Historicas'!$P$77</f>
        <v>432147.14357049315</v>
      </c>
      <c r="N97" s="368">
        <f>N85*'Cifras Historicas'!$P$77</f>
        <v>469592.69356087636</v>
      </c>
      <c r="O97" s="368">
        <f>O85*'Cifras Historicas'!$P$77</f>
        <v>507864.49808608781</v>
      </c>
      <c r="P97" s="368">
        <f>P85*'Cifras Historicas'!$P$77</f>
        <v>547163.05294798932</v>
      </c>
      <c r="Q97" s="368">
        <f>Q85*'Cifras Historicas'!$P$77</f>
        <v>587248.21820695908</v>
      </c>
    </row>
    <row r="98" spans="2:17" ht="15.75">
      <c r="B98" s="463" t="s">
        <v>223</v>
      </c>
      <c r="C98" s="463"/>
      <c r="D98" s="463"/>
      <c r="E98" s="463"/>
      <c r="F98" s="463"/>
      <c r="G98" s="347">
        <f t="shared" ref="G98:L98" si="81">G96-G97</f>
        <v>1734682</v>
      </c>
      <c r="H98" s="347">
        <f t="shared" si="81"/>
        <v>-2646053</v>
      </c>
      <c r="I98" s="347">
        <f t="shared" si="81"/>
        <v>389919</v>
      </c>
      <c r="J98" s="347">
        <f t="shared" si="81"/>
        <v>1234779</v>
      </c>
      <c r="K98" s="347">
        <f t="shared" si="81"/>
        <v>1912723</v>
      </c>
      <c r="L98" s="347">
        <f t="shared" si="81"/>
        <v>3125321.7465704745</v>
      </c>
      <c r="M98" s="347">
        <f t="shared" ref="M98:Q98" si="82">M96-M97</f>
        <v>3431540.7712994535</v>
      </c>
      <c r="N98" s="347">
        <f t="shared" si="82"/>
        <v>3728883.7791325501</v>
      </c>
      <c r="O98" s="347">
        <f t="shared" si="82"/>
        <v>4032787.8071318599</v>
      </c>
      <c r="P98" s="347">
        <f t="shared" ref="P98" si="83">P96-P97</f>
        <v>4344844.9276477201</v>
      </c>
      <c r="Q98" s="347">
        <f t="shared" si="82"/>
        <v>4663148.2670471948</v>
      </c>
    </row>
    <row r="99" spans="2:17">
      <c r="H99" s="335"/>
      <c r="I99" s="335"/>
      <c r="J99" s="335"/>
      <c r="K99" s="335"/>
      <c r="L99" s="335"/>
      <c r="M99" s="335"/>
      <c r="N99" s="335"/>
      <c r="O99" s="335"/>
      <c r="P99" s="335"/>
      <c r="Q99" s="335"/>
    </row>
    <row r="100" spans="2:17">
      <c r="G100" s="138"/>
      <c r="H100" s="138"/>
      <c r="I100" s="138"/>
      <c r="J100" s="138"/>
      <c r="K100" s="138"/>
    </row>
    <row r="101" spans="2:17" ht="15.75" thickBot="1"/>
    <row r="102" spans="2:17" ht="16.5" thickBot="1">
      <c r="B102" s="376" t="s">
        <v>224</v>
      </c>
      <c r="C102" s="377"/>
      <c r="D102" s="377"/>
      <c r="E102" s="377"/>
      <c r="F102" s="377"/>
      <c r="G102" s="170">
        <f t="shared" ref="G102:Q102" si="84">G83</f>
        <v>2015</v>
      </c>
      <c r="H102" s="170">
        <f t="shared" si="84"/>
        <v>2016</v>
      </c>
      <c r="I102" s="170">
        <f t="shared" si="84"/>
        <v>2017</v>
      </c>
      <c r="J102" s="170">
        <f t="shared" si="84"/>
        <v>2018</v>
      </c>
      <c r="K102" s="171">
        <f t="shared" si="84"/>
        <v>2019</v>
      </c>
      <c r="L102" s="172">
        <f t="shared" si="84"/>
        <v>2020</v>
      </c>
      <c r="M102" s="144">
        <f t="shared" si="84"/>
        <v>2021</v>
      </c>
      <c r="N102" s="144">
        <f t="shared" si="84"/>
        <v>2022</v>
      </c>
      <c r="O102" s="144">
        <f t="shared" si="84"/>
        <v>2023</v>
      </c>
      <c r="P102" s="145">
        <f t="shared" ref="P102" si="85">P83</f>
        <v>2024</v>
      </c>
      <c r="Q102" s="145">
        <f t="shared" si="84"/>
        <v>2025</v>
      </c>
    </row>
    <row r="103" spans="2:17" ht="15.75">
      <c r="B103" s="378" t="s">
        <v>225</v>
      </c>
      <c r="C103" s="54"/>
      <c r="D103" s="54"/>
      <c r="E103" s="54"/>
      <c r="F103" s="54"/>
      <c r="G103" s="368">
        <f>'Cifras Historicas'!F83</f>
        <v>3362885</v>
      </c>
      <c r="H103" s="368">
        <f>'Cifras Historicas'!G83</f>
        <v>3846401</v>
      </c>
      <c r="I103" s="368">
        <f>'Cifras Historicas'!H83</f>
        <v>4254198</v>
      </c>
      <c r="J103" s="368">
        <f>'Cifras Historicas'!I83</f>
        <v>4496319</v>
      </c>
      <c r="K103" s="368">
        <f>'Cifras Historicas'!J83</f>
        <v>4695706</v>
      </c>
      <c r="L103" s="379">
        <f t="shared" ref="L103:Q103" si="86">AVERAGE(G103:K103)</f>
        <v>4131101.8</v>
      </c>
      <c r="M103" s="379">
        <f t="shared" si="86"/>
        <v>4284745.16</v>
      </c>
      <c r="N103" s="379">
        <f t="shared" si="86"/>
        <v>4372413.9920000006</v>
      </c>
      <c r="O103" s="379">
        <f t="shared" si="86"/>
        <v>4396057.1903999997</v>
      </c>
      <c r="P103" s="379">
        <f t="shared" si="86"/>
        <v>4376004.8284799997</v>
      </c>
      <c r="Q103" s="379">
        <f t="shared" si="86"/>
        <v>4312064.594176</v>
      </c>
    </row>
    <row r="104" spans="2:17" ht="16.5" thickBot="1">
      <c r="B104" s="380" t="s">
        <v>226</v>
      </c>
      <c r="C104" s="381"/>
      <c r="D104" s="381"/>
      <c r="E104" s="381"/>
      <c r="F104" s="381"/>
      <c r="G104" s="382">
        <f>'Cifras Historicas'!F84</f>
        <v>51911</v>
      </c>
      <c r="H104" s="382">
        <f>'Cifras Historicas'!G84</f>
        <v>59385</v>
      </c>
      <c r="I104" s="382">
        <f>'Cifras Historicas'!H84</f>
        <v>65795</v>
      </c>
      <c r="J104" s="368">
        <f>'Cifras Historicas'!I84</f>
        <v>77122</v>
      </c>
      <c r="K104" s="368">
        <f>'Cifras Historicas'!J84</f>
        <v>89281</v>
      </c>
      <c r="L104" s="379">
        <f>AVERAGE(G104:K104)</f>
        <v>68698.8</v>
      </c>
      <c r="M104" s="383">
        <f>AVERAGE(H104:L104)</f>
        <v>72056.36</v>
      </c>
      <c r="N104" s="383">
        <f>AVERAGE(I104:M104)</f>
        <v>74590.631999999998</v>
      </c>
      <c r="O104" s="383">
        <f>AVERAGE(J104:N104)</f>
        <v>76349.758399999992</v>
      </c>
      <c r="P104" s="383">
        <f>AVERAGE(J104:N104)</f>
        <v>76349.758399999992</v>
      </c>
      <c r="Q104" s="383">
        <f>AVERAGE(K104:O104)</f>
        <v>76195.310079999996</v>
      </c>
    </row>
    <row r="108" spans="2:17" ht="15" customHeight="1">
      <c r="B108" s="540" t="s">
        <v>263</v>
      </c>
      <c r="C108" s="541"/>
      <c r="D108" s="541"/>
      <c r="E108" s="541"/>
      <c r="F108" s="541"/>
      <c r="G108" s="541"/>
      <c r="H108" s="541"/>
      <c r="I108" s="541"/>
      <c r="J108" s="541"/>
      <c r="K108" s="541"/>
      <c r="L108" s="541"/>
      <c r="M108" s="541"/>
      <c r="N108" s="541"/>
      <c r="O108" s="541"/>
      <c r="P108" s="541"/>
      <c r="Q108" s="542"/>
    </row>
    <row r="109" spans="2:17" ht="15.75" customHeight="1">
      <c r="B109" s="543"/>
      <c r="C109" s="544"/>
      <c r="D109" s="544"/>
      <c r="E109" s="544"/>
      <c r="F109" s="544"/>
      <c r="G109" s="544"/>
      <c r="H109" s="544"/>
      <c r="I109" s="544"/>
      <c r="J109" s="544"/>
      <c r="K109" s="544"/>
      <c r="L109" s="544"/>
      <c r="M109" s="544"/>
      <c r="N109" s="544"/>
      <c r="O109" s="544"/>
      <c r="P109" s="544"/>
      <c r="Q109" s="545"/>
    </row>
    <row r="110" spans="2:17">
      <c r="B110" s="539" t="s">
        <v>270</v>
      </c>
      <c r="C110" s="539"/>
      <c r="D110" s="539"/>
      <c r="E110" s="539"/>
      <c r="F110" s="539"/>
      <c r="G110" s="388">
        <v>2015</v>
      </c>
      <c r="H110" s="388">
        <v>2016</v>
      </c>
      <c r="I110" s="388">
        <v>2017</v>
      </c>
      <c r="J110" s="388">
        <v>2018</v>
      </c>
      <c r="K110" s="388">
        <v>2019</v>
      </c>
      <c r="L110" s="117">
        <v>2020</v>
      </c>
      <c r="M110" s="117">
        <v>2021</v>
      </c>
      <c r="N110" s="117">
        <v>2022</v>
      </c>
      <c r="O110" s="117">
        <v>2023</v>
      </c>
      <c r="P110" s="117">
        <v>2024</v>
      </c>
      <c r="Q110" s="117">
        <v>2015</v>
      </c>
    </row>
    <row r="111" spans="2:17" ht="28.5" customHeight="1">
      <c r="B111" s="538" t="s">
        <v>266</v>
      </c>
      <c r="C111" s="538"/>
      <c r="D111" s="538"/>
      <c r="E111" s="538"/>
      <c r="F111" s="538"/>
      <c r="G111" s="329">
        <f>G98/G54</f>
        <v>6.4650047751042369E-2</v>
      </c>
      <c r="H111" s="329">
        <f t="shared" ref="H111:Q111" si="87">H98/H54</f>
        <v>-0.15057477039941405</v>
      </c>
      <c r="I111" s="329">
        <f t="shared" si="87"/>
        <v>2.1438054436589582E-2</v>
      </c>
      <c r="J111" s="329">
        <f t="shared" si="87"/>
        <v>6.0544658181640593E-2</v>
      </c>
      <c r="K111" s="329">
        <f t="shared" si="87"/>
        <v>7.8310997000782603E-2</v>
      </c>
      <c r="L111" s="329">
        <f t="shared" si="87"/>
        <v>0.13468441509788667</v>
      </c>
      <c r="M111" s="329">
        <f t="shared" si="87"/>
        <v>0.13468441509788681</v>
      </c>
      <c r="N111" s="329">
        <f t="shared" si="87"/>
        <v>0.13468441509788681</v>
      </c>
      <c r="O111" s="329">
        <f t="shared" si="87"/>
        <v>0.13468441509788701</v>
      </c>
      <c r="P111" s="329">
        <f t="shared" ref="P111" si="88">P98/P54</f>
        <v>0.13468441509788689</v>
      </c>
      <c r="Q111" s="329">
        <f t="shared" si="87"/>
        <v>0.13468441509788695</v>
      </c>
    </row>
    <row r="112" spans="2:17">
      <c r="B112" s="538" t="s">
        <v>272</v>
      </c>
      <c r="C112" s="538"/>
      <c r="D112" s="538"/>
      <c r="E112" s="538"/>
      <c r="F112" s="538"/>
      <c r="G112" s="390">
        <f>+G90-G97</f>
        <v>496435</v>
      </c>
      <c r="H112" s="390">
        <f>+H90-H97</f>
        <v>-2601327</v>
      </c>
      <c r="I112" s="390">
        <f>+I90-I97</f>
        <v>566719</v>
      </c>
      <c r="J112" s="390">
        <f t="shared" ref="J112:Q112" si="89">+J90-J97</f>
        <v>1467960</v>
      </c>
      <c r="K112" s="390">
        <f t="shared" si="89"/>
        <v>2946213</v>
      </c>
      <c r="L112" s="390">
        <f t="shared" si="89"/>
        <v>3612248.0803852035</v>
      </c>
      <c r="M112" s="390">
        <f t="shared" si="89"/>
        <v>3966176.1473013489</v>
      </c>
      <c r="N112" s="390">
        <f t="shared" si="89"/>
        <v>4309845.3104650099</v>
      </c>
      <c r="O112" s="390">
        <f t="shared" si="89"/>
        <v>4661097.7032679152</v>
      </c>
      <c r="P112" s="390">
        <f t="shared" ref="P112" si="90">+P90-P97</f>
        <v>5021773.4435467841</v>
      </c>
      <c r="Q112" s="390">
        <f t="shared" si="89"/>
        <v>5389668.5660210242</v>
      </c>
    </row>
    <row r="113" spans="2:17">
      <c r="B113" s="538" t="s">
        <v>274</v>
      </c>
      <c r="C113" s="538"/>
      <c r="D113" s="538"/>
      <c r="E113" s="538"/>
      <c r="F113" s="538"/>
      <c r="G113" s="390">
        <f>+G90*(1-35%)</f>
        <v>1364142</v>
      </c>
      <c r="H113" s="390">
        <f t="shared" ref="H113:Q113" si="91">+H90*(1-35%)</f>
        <v>-1585129</v>
      </c>
      <c r="I113" s="390">
        <f t="shared" si="91"/>
        <v>248506.05000000002</v>
      </c>
      <c r="J113" s="390">
        <f t="shared" si="91"/>
        <v>1149487.95</v>
      </c>
      <c r="K113" s="390">
        <f t="shared" si="91"/>
        <v>2661772.75</v>
      </c>
      <c r="L113" s="390">
        <f t="shared" si="91"/>
        <v>2603790.7239354951</v>
      </c>
      <c r="M113" s="390">
        <f t="shared" si="91"/>
        <v>2858910.1390666971</v>
      </c>
      <c r="N113" s="390">
        <f t="shared" si="91"/>
        <v>3106634.7026168257</v>
      </c>
      <c r="O113" s="390">
        <f t="shared" si="91"/>
        <v>3359825.4308801019</v>
      </c>
      <c r="P113" s="390">
        <f t="shared" ref="P113" si="92">+P90*(1-35%)</f>
        <v>3619808.7227216032</v>
      </c>
      <c r="Q113" s="390">
        <f t="shared" si="91"/>
        <v>3884995.9097481892</v>
      </c>
    </row>
    <row r="114" spans="2:17">
      <c r="B114" s="538" t="s">
        <v>271</v>
      </c>
      <c r="C114" s="538"/>
      <c r="D114" s="538"/>
      <c r="E114" s="538"/>
      <c r="F114" s="538"/>
      <c r="G114" s="329">
        <f t="shared" ref="G114:Q114" si="93">+G112/((G45-G58)+G49)</f>
        <v>2.2396671955650135E-2</v>
      </c>
      <c r="H114" s="329">
        <f t="shared" si="93"/>
        <v>-0.19593776635825727</v>
      </c>
      <c r="I114" s="329">
        <f t="shared" si="93"/>
        <v>4.4714764948429041E-2</v>
      </c>
      <c r="J114" s="329">
        <f t="shared" si="93"/>
        <v>0.13153480570310316</v>
      </c>
      <c r="K114" s="329">
        <f t="shared" si="93"/>
        <v>0.19826324265363635</v>
      </c>
      <c r="L114" s="329">
        <f t="shared" si="93"/>
        <v>0.25586304857684905</v>
      </c>
      <c r="M114" s="329">
        <f t="shared" si="93"/>
        <v>0.25586304857684922</v>
      </c>
      <c r="N114" s="329">
        <f t="shared" si="93"/>
        <v>0.25586304857684927</v>
      </c>
      <c r="O114" s="329">
        <f t="shared" si="93"/>
        <v>0.25586304857684955</v>
      </c>
      <c r="P114" s="329">
        <f t="shared" ref="P114" si="94">+P112/((P45-P58)+P49)</f>
        <v>0.25586304857684938</v>
      </c>
      <c r="Q114" s="329">
        <f t="shared" si="93"/>
        <v>0.25586304857684944</v>
      </c>
    </row>
    <row r="116" spans="2:17">
      <c r="B116" s="549" t="s">
        <v>275</v>
      </c>
      <c r="C116" s="550"/>
      <c r="D116" s="550"/>
      <c r="E116" s="550"/>
      <c r="F116" s="551"/>
      <c r="G116" s="183">
        <f>+AVERAGE(G111:Q111)</f>
        <v>8.0225043414360209E-2</v>
      </c>
    </row>
    <row r="117" spans="2:17">
      <c r="B117" s="546" t="s">
        <v>276</v>
      </c>
      <c r="C117" s="547"/>
      <c r="D117" s="547"/>
      <c r="E117" s="547"/>
      <c r="F117" s="548"/>
      <c r="G117" s="183">
        <f>+AVERAGE(G114:Q114)</f>
        <v>0.15783181912396885</v>
      </c>
    </row>
    <row r="118" spans="2:17">
      <c r="B118" s="549" t="s">
        <v>273</v>
      </c>
      <c r="C118" s="550"/>
      <c r="D118" s="550"/>
      <c r="E118" s="550"/>
      <c r="F118" s="551"/>
      <c r="G118" s="183">
        <f>+G116-G117</f>
        <v>-7.7606775709608639E-2</v>
      </c>
    </row>
    <row r="120" spans="2:17">
      <c r="B120" s="539" t="s">
        <v>277</v>
      </c>
      <c r="C120" s="539"/>
      <c r="D120" s="539"/>
      <c r="E120" s="539"/>
      <c r="F120" s="539"/>
      <c r="G120" s="388">
        <v>2015</v>
      </c>
      <c r="H120" s="388">
        <v>2016</v>
      </c>
      <c r="I120" s="388">
        <v>2017</v>
      </c>
      <c r="J120" s="388">
        <v>2018</v>
      </c>
      <c r="K120" s="388">
        <v>2019</v>
      </c>
      <c r="L120" s="117">
        <v>2020</v>
      </c>
      <c r="M120" s="117">
        <v>2021</v>
      </c>
      <c r="N120" s="117">
        <v>2022</v>
      </c>
      <c r="O120" s="117">
        <v>2023</v>
      </c>
      <c r="P120" s="117">
        <v>2024</v>
      </c>
      <c r="Q120" s="117">
        <v>2025</v>
      </c>
    </row>
    <row r="121" spans="2:17">
      <c r="B121" s="538" t="s">
        <v>30</v>
      </c>
      <c r="C121" s="538"/>
      <c r="D121" s="538"/>
      <c r="E121" s="538"/>
      <c r="F121" s="538"/>
      <c r="G121" s="390">
        <f>+G90+G104+G103</f>
        <v>5513476</v>
      </c>
      <c r="H121" s="390">
        <f t="shared" ref="H121:Q121" si="95">+H90+H104+H103</f>
        <v>1467126</v>
      </c>
      <c r="I121" s="390">
        <f t="shared" si="95"/>
        <v>4702310</v>
      </c>
      <c r="J121" s="390">
        <f t="shared" si="95"/>
        <v>6341884</v>
      </c>
      <c r="K121" s="390">
        <f t="shared" si="95"/>
        <v>8880022</v>
      </c>
      <c r="L121" s="390">
        <f t="shared" si="95"/>
        <v>8205632.4829776846</v>
      </c>
      <c r="M121" s="390">
        <f t="shared" si="95"/>
        <v>8755124.8108718432</v>
      </c>
      <c r="N121" s="390">
        <f t="shared" si="95"/>
        <v>9226442.6280258857</v>
      </c>
      <c r="O121" s="390">
        <f t="shared" si="95"/>
        <v>9641369.150154002</v>
      </c>
      <c r="P121" s="390">
        <f t="shared" ref="P121" si="96">+P90+P104+P103</f>
        <v>10021291.083374772</v>
      </c>
      <c r="Q121" s="390">
        <f t="shared" si="95"/>
        <v>10365176.688483983</v>
      </c>
    </row>
    <row r="122" spans="2:17">
      <c r="B122" s="538" t="s">
        <v>267</v>
      </c>
      <c r="C122" s="538"/>
      <c r="D122" s="538"/>
      <c r="E122" s="538"/>
      <c r="F122" s="538"/>
      <c r="G122" s="329">
        <f t="shared" ref="G122:Q122" si="97">G121/G85</f>
        <v>0.14241009766505572</v>
      </c>
      <c r="H122" s="329">
        <f t="shared" si="97"/>
        <v>5.1240498576478187E-2</v>
      </c>
      <c r="I122" s="329">
        <f t="shared" si="97"/>
        <v>0.13387078159041099</v>
      </c>
      <c r="J122" s="329">
        <f t="shared" si="97"/>
        <v>0.15270988306981567</v>
      </c>
      <c r="K122" s="329">
        <f t="shared" si="97"/>
        <v>0.18758059027325227</v>
      </c>
      <c r="L122" s="329">
        <f t="shared" si="97"/>
        <v>0.18244747442024928</v>
      </c>
      <c r="M122" s="329">
        <f t="shared" si="97"/>
        <v>0.17729386447773723</v>
      </c>
      <c r="N122" s="329">
        <f t="shared" si="97"/>
        <v>0.17193962135473062</v>
      </c>
      <c r="O122" s="329">
        <f t="shared" si="97"/>
        <v>0.16613221987048166</v>
      </c>
      <c r="P122" s="329">
        <f t="shared" ref="P122" si="98">P121/P85</f>
        <v>0.16027652746513854</v>
      </c>
      <c r="Q122" s="329">
        <f t="shared" si="97"/>
        <v>0.15446070523305544</v>
      </c>
    </row>
    <row r="123" spans="2:17">
      <c r="B123" s="538" t="s">
        <v>278</v>
      </c>
      <c r="C123" s="538"/>
      <c r="D123" s="538"/>
      <c r="E123" s="538"/>
      <c r="F123" s="538"/>
      <c r="G123" s="379">
        <f>+G42+G43-G58</f>
        <v>14890122</v>
      </c>
      <c r="H123" s="379">
        <f t="shared" ref="H123:Q123" si="99">+H42+H43-H58</f>
        <v>7053133</v>
      </c>
      <c r="I123" s="379">
        <f t="shared" si="99"/>
        <v>6715060</v>
      </c>
      <c r="J123" s="379">
        <f t="shared" si="99"/>
        <v>3634899</v>
      </c>
      <c r="K123" s="379">
        <f t="shared" si="99"/>
        <v>6389136</v>
      </c>
      <c r="L123" s="379">
        <f t="shared" si="99"/>
        <v>6070021.0187760005</v>
      </c>
      <c r="M123" s="379">
        <f t="shared" si="99"/>
        <v>6664761.6781956758</v>
      </c>
      <c r="N123" s="379">
        <f t="shared" si="99"/>
        <v>7242263.2776113302</v>
      </c>
      <c r="O123" s="379">
        <f t="shared" si="99"/>
        <v>7832507.734736653</v>
      </c>
      <c r="P123" s="379">
        <f t="shared" ref="P123" si="100">+P42+P43-P58</f>
        <v>8438587.1832505744</v>
      </c>
      <c r="Q123" s="379">
        <f t="shared" si="99"/>
        <v>9056798.0802955143</v>
      </c>
    </row>
    <row r="124" spans="2:17">
      <c r="B124" s="538" t="s">
        <v>279</v>
      </c>
      <c r="C124" s="538"/>
      <c r="D124" s="538"/>
      <c r="E124" s="538"/>
      <c r="F124" s="538"/>
      <c r="G124" s="391">
        <f>+G123/G85</f>
        <v>0.3846037832149074</v>
      </c>
      <c r="H124" s="391">
        <f t="shared" ref="H124:Q124" si="101">+H123/H85</f>
        <v>0.24633606891719684</v>
      </c>
      <c r="I124" s="391">
        <f t="shared" si="101"/>
        <v>0.19117206875482587</v>
      </c>
      <c r="J124" s="391">
        <f t="shared" si="101"/>
        <v>8.7526829765506575E-2</v>
      </c>
      <c r="K124" s="391">
        <f t="shared" si="101"/>
        <v>0.13496339335826937</v>
      </c>
      <c r="L124" s="391">
        <f t="shared" si="101"/>
        <v>0.13496339335826937</v>
      </c>
      <c r="M124" s="391">
        <f t="shared" si="101"/>
        <v>0.1349633933582694</v>
      </c>
      <c r="N124" s="391">
        <f t="shared" si="101"/>
        <v>0.1349633933582694</v>
      </c>
      <c r="O124" s="391">
        <f t="shared" si="101"/>
        <v>0.13496339335826937</v>
      </c>
      <c r="P124" s="391">
        <f t="shared" ref="P124" si="102">+P123/P85</f>
        <v>0.13496339335826935</v>
      </c>
      <c r="Q124" s="391">
        <f t="shared" si="101"/>
        <v>0.13496339335826937</v>
      </c>
    </row>
    <row r="125" spans="2:17">
      <c r="B125" s="538" t="s">
        <v>280</v>
      </c>
      <c r="C125" s="538"/>
      <c r="D125" s="538"/>
      <c r="E125" s="538"/>
      <c r="F125" s="538"/>
      <c r="G125" s="392">
        <f>+G124</f>
        <v>0.3846037832149074</v>
      </c>
      <c r="H125" s="392">
        <f t="shared" ref="H125:Q125" si="103">+H124</f>
        <v>0.24633606891719684</v>
      </c>
      <c r="I125" s="392">
        <f t="shared" si="103"/>
        <v>0.19117206875482587</v>
      </c>
      <c r="J125" s="392">
        <f t="shared" si="103"/>
        <v>8.7526829765506575E-2</v>
      </c>
      <c r="K125" s="392">
        <f t="shared" si="103"/>
        <v>0.13496339335826937</v>
      </c>
      <c r="L125" s="392">
        <f t="shared" si="103"/>
        <v>0.13496339335826937</v>
      </c>
      <c r="M125" s="392">
        <f t="shared" si="103"/>
        <v>0.1349633933582694</v>
      </c>
      <c r="N125" s="392">
        <f t="shared" si="103"/>
        <v>0.1349633933582694</v>
      </c>
      <c r="O125" s="392">
        <f t="shared" si="103"/>
        <v>0.13496339335826937</v>
      </c>
      <c r="P125" s="392">
        <f t="shared" ref="P125" si="104">+P124</f>
        <v>0.13496339335826935</v>
      </c>
      <c r="Q125" s="392">
        <f t="shared" si="103"/>
        <v>0.13496339335826937</v>
      </c>
    </row>
    <row r="126" spans="2:17">
      <c r="B126" s="538" t="s">
        <v>281</v>
      </c>
      <c r="C126" s="538"/>
      <c r="D126" s="538"/>
      <c r="E126" s="538"/>
      <c r="F126" s="538"/>
      <c r="G126" s="391">
        <f>+G85/G49</f>
        <v>19.107774592777286</v>
      </c>
      <c r="H126" s="391">
        <f t="shared" ref="H126:Q126" si="105">+H85/H49</f>
        <v>14.205291432120889</v>
      </c>
      <c r="I126" s="391">
        <f t="shared" si="105"/>
        <v>20.975937149350909</v>
      </c>
      <c r="J126" s="391">
        <f t="shared" si="105"/>
        <v>22.320706476229173</v>
      </c>
      <c r="K126" s="391">
        <f t="shared" si="105"/>
        <v>20.971976536435111</v>
      </c>
      <c r="L126" s="391">
        <f t="shared" si="105"/>
        <v>20.971976536435108</v>
      </c>
      <c r="M126" s="391">
        <f t="shared" si="105"/>
        <v>20.971976536435108</v>
      </c>
      <c r="N126" s="391">
        <f t="shared" si="105"/>
        <v>20.971976536435111</v>
      </c>
      <c r="O126" s="391">
        <f t="shared" si="105"/>
        <v>20.971976536435111</v>
      </c>
      <c r="P126" s="391">
        <f t="shared" ref="P126" si="106">+P85/P49</f>
        <v>20.971976536435111</v>
      </c>
      <c r="Q126" s="391">
        <f t="shared" si="105"/>
        <v>20.971976536435115</v>
      </c>
    </row>
    <row r="128" spans="2:17">
      <c r="B128" s="539" t="s">
        <v>282</v>
      </c>
      <c r="C128" s="539"/>
      <c r="D128" s="539"/>
      <c r="E128" s="539"/>
      <c r="F128" s="539"/>
      <c r="G128" s="388">
        <v>2015</v>
      </c>
      <c r="H128" s="388">
        <v>2016</v>
      </c>
      <c r="I128" s="388">
        <v>2017</v>
      </c>
      <c r="J128" s="388">
        <v>2018</v>
      </c>
      <c r="K128" s="388">
        <v>2019</v>
      </c>
      <c r="L128" s="117">
        <v>2020</v>
      </c>
      <c r="M128" s="117">
        <v>2021</v>
      </c>
      <c r="N128" s="117">
        <v>2022</v>
      </c>
      <c r="O128" s="117">
        <v>2023</v>
      </c>
      <c r="P128" s="117">
        <v>2024</v>
      </c>
      <c r="Q128" s="117">
        <v>2025</v>
      </c>
    </row>
    <row r="129" spans="2:17" s="396" customFormat="1">
      <c r="B129" s="553" t="s">
        <v>283</v>
      </c>
      <c r="C129" s="553"/>
      <c r="D129" s="553"/>
      <c r="E129" s="553"/>
      <c r="F129" s="553"/>
      <c r="G129" s="189">
        <f>+G112+G103+G104</f>
        <v>3911231</v>
      </c>
      <c r="H129" s="189">
        <f t="shared" ref="H129:Q129" si="107">+H112+H103+H104</f>
        <v>1304459</v>
      </c>
      <c r="I129" s="189">
        <f t="shared" si="107"/>
        <v>4886712</v>
      </c>
      <c r="J129" s="189">
        <f t="shared" si="107"/>
        <v>6041401</v>
      </c>
      <c r="K129" s="189">
        <f t="shared" si="107"/>
        <v>7731200</v>
      </c>
      <c r="L129" s="189">
        <f t="shared" si="107"/>
        <v>7812048.6803852031</v>
      </c>
      <c r="M129" s="189">
        <f t="shared" si="107"/>
        <v>8322977.6673013493</v>
      </c>
      <c r="N129" s="189">
        <f t="shared" si="107"/>
        <v>8756849.9344650097</v>
      </c>
      <c r="O129" s="189">
        <f t="shared" si="107"/>
        <v>9133504.6520679146</v>
      </c>
      <c r="P129" s="189">
        <f t="shared" ref="P129" si="108">+P112+P103+P104</f>
        <v>9474128.0304267853</v>
      </c>
      <c r="Q129" s="189">
        <f t="shared" si="107"/>
        <v>9777928.4702770226</v>
      </c>
    </row>
    <row r="130" spans="2:17" s="396" customFormat="1">
      <c r="B130" s="553" t="s">
        <v>284</v>
      </c>
      <c r="C130" s="553"/>
      <c r="D130" s="553"/>
      <c r="E130" s="553"/>
      <c r="F130" s="553"/>
      <c r="G130" s="189">
        <f>+G129</f>
        <v>3911231</v>
      </c>
      <c r="H130" s="189">
        <f>+H129-(H123-G123)-(G49-H49)</f>
        <v>9130882</v>
      </c>
      <c r="I130" s="189">
        <f t="shared" ref="I130:O130" si="109">+I129-(I123-H123)-(H49-I49)</f>
        <v>4883760</v>
      </c>
      <c r="J130" s="189">
        <f t="shared" si="109"/>
        <v>9307547</v>
      </c>
      <c r="K130" s="189">
        <f t="shared" si="109"/>
        <v>5373692</v>
      </c>
      <c r="L130" s="189">
        <f>+L129-(L123-K123)-(K49-L49)</f>
        <v>8018420.0764637031</v>
      </c>
      <c r="M130" s="189">
        <f t="shared" si="109"/>
        <v>7938359.3716691183</v>
      </c>
      <c r="N130" s="189">
        <f t="shared" si="109"/>
        <v>8383380.12476868</v>
      </c>
      <c r="O130" s="189">
        <f t="shared" si="109"/>
        <v>8751794.0467640348</v>
      </c>
      <c r="P130" s="189">
        <f>+P129-(P123-N123)-(N49-P49)</f>
        <v>8700466.343902722</v>
      </c>
      <c r="Q130" s="189">
        <f>+Q129-(Q123-O123)-(O49-Q49)</f>
        <v>8986180.9100424238</v>
      </c>
    </row>
    <row r="131" spans="2:17">
      <c r="F131" s="328"/>
      <c r="G131" s="389"/>
    </row>
    <row r="132" spans="2:17">
      <c r="B132" s="539" t="s">
        <v>285</v>
      </c>
      <c r="C132" s="539"/>
      <c r="D132" s="539"/>
      <c r="E132" s="539"/>
      <c r="F132" s="539"/>
      <c r="G132" s="388">
        <v>2015</v>
      </c>
      <c r="H132" s="388">
        <v>2016</v>
      </c>
      <c r="I132" s="388">
        <v>2017</v>
      </c>
      <c r="J132" s="388">
        <v>2018</v>
      </c>
      <c r="K132" s="388">
        <v>2019</v>
      </c>
      <c r="L132" s="117">
        <v>2020</v>
      </c>
      <c r="M132" s="117">
        <v>2021</v>
      </c>
      <c r="N132" s="117">
        <v>2022</v>
      </c>
      <c r="O132" s="117">
        <v>2023</v>
      </c>
      <c r="P132" s="117">
        <v>2024</v>
      </c>
      <c r="Q132" s="117">
        <v>2025</v>
      </c>
    </row>
    <row r="133" spans="2:17">
      <c r="B133" s="554" t="s">
        <v>286</v>
      </c>
      <c r="C133" s="554"/>
      <c r="D133" s="554"/>
      <c r="E133" s="554"/>
      <c r="F133" s="554"/>
      <c r="G133" s="552"/>
      <c r="H133" s="552"/>
      <c r="I133" s="552"/>
      <c r="J133" s="552"/>
      <c r="K133" s="552"/>
      <c r="L133" s="552"/>
      <c r="M133" s="552"/>
      <c r="N133" s="552"/>
      <c r="O133" s="552"/>
      <c r="P133" s="552"/>
      <c r="Q133" s="552"/>
    </row>
    <row r="134" spans="2:17">
      <c r="B134" s="538" t="s">
        <v>287</v>
      </c>
      <c r="C134" s="538" t="s">
        <v>287</v>
      </c>
      <c r="D134" s="538" t="s">
        <v>287</v>
      </c>
      <c r="E134" s="538" t="s">
        <v>287</v>
      </c>
      <c r="F134" s="538" t="s">
        <v>287</v>
      </c>
      <c r="G134" s="329">
        <f>+G87/G85</f>
        <v>0.13456904905104508</v>
      </c>
      <c r="H134" s="329">
        <f t="shared" ref="H134:Q134" si="110">+H87/H85</f>
        <v>1.8549702699660386E-2</v>
      </c>
      <c r="I134" s="329">
        <f t="shared" si="110"/>
        <v>9.0121779078349895E-2</v>
      </c>
      <c r="J134" s="329">
        <f t="shared" si="110"/>
        <v>0.1120500487262277</v>
      </c>
      <c r="K134" s="329">
        <f t="shared" si="110"/>
        <v>0.16470160290174624</v>
      </c>
      <c r="L134" s="329">
        <f t="shared" si="110"/>
        <v>0.16470160290174621</v>
      </c>
      <c r="M134" s="329">
        <f t="shared" si="110"/>
        <v>0.16470160290174624</v>
      </c>
      <c r="N134" s="329">
        <f t="shared" si="110"/>
        <v>0.16470160290174624</v>
      </c>
      <c r="O134" s="329">
        <f t="shared" si="110"/>
        <v>0.16470160290174632</v>
      </c>
      <c r="P134" s="329">
        <f t="shared" ref="P134" si="111">+P87/P85</f>
        <v>0.16470160290174632</v>
      </c>
      <c r="Q134" s="329">
        <f t="shared" si="110"/>
        <v>0.16470160290174635</v>
      </c>
    </row>
    <row r="135" spans="2:17">
      <c r="B135" s="538" t="s">
        <v>288</v>
      </c>
      <c r="C135" s="538" t="s">
        <v>288</v>
      </c>
      <c r="D135" s="538" t="s">
        <v>288</v>
      </c>
      <c r="E135" s="538" t="s">
        <v>288</v>
      </c>
      <c r="F135" s="538" t="s">
        <v>288</v>
      </c>
      <c r="G135" s="329">
        <f>+G90/G85</f>
        <v>5.4207767253852041E-2</v>
      </c>
      <c r="H135" s="329">
        <f t="shared" ref="H135:Q135" si="112">+H90/H85</f>
        <v>-8.5172067197033047E-2</v>
      </c>
      <c r="I135" s="329">
        <f t="shared" si="112"/>
        <v>1.088424106562544E-2</v>
      </c>
      <c r="J135" s="329">
        <f t="shared" si="112"/>
        <v>4.2583359100487182E-2</v>
      </c>
      <c r="K135" s="329">
        <f t="shared" si="112"/>
        <v>8.6503060745753521E-2</v>
      </c>
      <c r="L135" s="329">
        <f t="shared" si="112"/>
        <v>8.9067346303593614E-2</v>
      </c>
      <c r="M135" s="329">
        <f t="shared" si="112"/>
        <v>8.906734630359367E-2</v>
      </c>
      <c r="N135" s="329">
        <f t="shared" si="112"/>
        <v>8.9067346303593656E-2</v>
      </c>
      <c r="O135" s="329">
        <f t="shared" si="112"/>
        <v>8.9067346303593767E-2</v>
      </c>
      <c r="P135" s="329">
        <f t="shared" ref="P135" si="113">+P90/P85</f>
        <v>8.9067346303593739E-2</v>
      </c>
      <c r="Q135" s="329">
        <f t="shared" si="112"/>
        <v>8.9067346303593767E-2</v>
      </c>
    </row>
    <row r="136" spans="2:17">
      <c r="B136" s="538" t="s">
        <v>289</v>
      </c>
      <c r="C136" s="538" t="s">
        <v>289</v>
      </c>
      <c r="D136" s="538" t="s">
        <v>289</v>
      </c>
      <c r="E136" s="538" t="s">
        <v>289</v>
      </c>
      <c r="F136" s="538" t="s">
        <v>289</v>
      </c>
      <c r="G136" s="329">
        <f>+G98/G85</f>
        <v>4.4805896142073386E-2</v>
      </c>
      <c r="H136" s="329">
        <f t="shared" ref="H136:Q136" si="114">+H98/H85</f>
        <v>-9.2415426473108533E-2</v>
      </c>
      <c r="I136" s="329">
        <f t="shared" si="114"/>
        <v>1.1100663564705744E-2</v>
      </c>
      <c r="J136" s="329">
        <f t="shared" si="114"/>
        <v>2.973295580730646E-2</v>
      </c>
      <c r="K136" s="329">
        <f t="shared" si="114"/>
        <v>4.0404146450225678E-2</v>
      </c>
      <c r="L136" s="329">
        <f t="shared" si="114"/>
        <v>6.9489714607050862E-2</v>
      </c>
      <c r="M136" s="329">
        <f t="shared" si="114"/>
        <v>6.9489714607050931E-2</v>
      </c>
      <c r="N136" s="329">
        <f t="shared" si="114"/>
        <v>6.9489714607050918E-2</v>
      </c>
      <c r="O136" s="329">
        <f t="shared" si="114"/>
        <v>6.9489714607051029E-2</v>
      </c>
      <c r="P136" s="329">
        <f t="shared" ref="P136" si="115">+P98/P85</f>
        <v>6.9489714607050973E-2</v>
      </c>
      <c r="Q136" s="329">
        <f t="shared" si="114"/>
        <v>6.9489714607051015E-2</v>
      </c>
    </row>
    <row r="137" spans="2:17">
      <c r="B137" s="538" t="s">
        <v>290</v>
      </c>
      <c r="C137" s="538" t="s">
        <v>290</v>
      </c>
      <c r="D137" s="538" t="s">
        <v>290</v>
      </c>
      <c r="E137" s="538" t="s">
        <v>290</v>
      </c>
      <c r="F137" s="538" t="s">
        <v>290</v>
      </c>
      <c r="G137" s="329">
        <f>+G98/G76</f>
        <v>0.10352273987975195</v>
      </c>
      <c r="H137" s="329">
        <f t="shared" ref="H137:Q137" si="116">+H98/H76</f>
        <v>-0.31927728942630546</v>
      </c>
      <c r="I137" s="329">
        <f t="shared" si="116"/>
        <v>4.4934216470267192E-2</v>
      </c>
      <c r="J137" s="329">
        <f t="shared" si="116"/>
        <v>0.12785038310209154</v>
      </c>
      <c r="K137" s="329">
        <f t="shared" si="116"/>
        <v>0.15656966672925995</v>
      </c>
      <c r="L137" s="329">
        <f t="shared" si="116"/>
        <v>0.26927883430331873</v>
      </c>
      <c r="M137" s="329">
        <f t="shared" si="116"/>
        <v>0.26927883430331889</v>
      </c>
      <c r="N137" s="329">
        <f t="shared" si="116"/>
        <v>0.26927883430331895</v>
      </c>
      <c r="O137" s="329">
        <f t="shared" si="116"/>
        <v>0.26927883430331923</v>
      </c>
      <c r="P137" s="329">
        <f t="shared" ref="P137" si="117">+P98/P76</f>
        <v>0.26927883430331911</v>
      </c>
      <c r="Q137" s="329">
        <f t="shared" si="116"/>
        <v>0.26927883430331923</v>
      </c>
    </row>
    <row r="138" spans="2:17">
      <c r="B138" s="554" t="s">
        <v>291</v>
      </c>
      <c r="C138" s="554"/>
      <c r="D138" s="554"/>
      <c r="E138" s="554"/>
      <c r="F138" s="554"/>
      <c r="G138" s="552"/>
      <c r="H138" s="552"/>
      <c r="I138" s="552"/>
      <c r="J138" s="552"/>
      <c r="K138" s="552"/>
      <c r="L138" s="552"/>
      <c r="M138" s="552"/>
      <c r="N138" s="552"/>
      <c r="O138" s="552"/>
      <c r="P138" s="552"/>
      <c r="Q138" s="552"/>
    </row>
    <row r="139" spans="2:17">
      <c r="B139" s="555" t="s">
        <v>292</v>
      </c>
      <c r="C139" s="555"/>
      <c r="D139" s="555"/>
      <c r="E139" s="555"/>
      <c r="F139" s="555"/>
      <c r="G139" s="390">
        <f>+G45-G62</f>
        <v>14214182</v>
      </c>
      <c r="H139" s="390">
        <f t="shared" ref="H139:Q139" si="118">+H45-H62</f>
        <v>5665856</v>
      </c>
      <c r="I139" s="390">
        <f t="shared" si="118"/>
        <v>6112396</v>
      </c>
      <c r="J139" s="390">
        <f t="shared" si="118"/>
        <v>6994860</v>
      </c>
      <c r="K139" s="390">
        <f t="shared" si="118"/>
        <v>9172421</v>
      </c>
      <c r="L139" s="390">
        <f t="shared" si="118"/>
        <v>8714290.6745235007</v>
      </c>
      <c r="M139" s="390">
        <f t="shared" si="118"/>
        <v>9568116.8748133164</v>
      </c>
      <c r="N139" s="390">
        <f t="shared" si="118"/>
        <v>10397194.202015884</v>
      </c>
      <c r="O139" s="390">
        <f t="shared" si="118"/>
        <v>11244565.529480187</v>
      </c>
      <c r="P139" s="390">
        <f t="shared" ref="P139" si="119">+P45-P62</f>
        <v>12114670.01015136</v>
      </c>
      <c r="Q139" s="390">
        <f t="shared" si="118"/>
        <v>13002190.735095054</v>
      </c>
    </row>
    <row r="140" spans="2:17">
      <c r="B140" s="555" t="s">
        <v>293</v>
      </c>
      <c r="C140" s="555"/>
      <c r="D140" s="555"/>
      <c r="E140" s="555"/>
      <c r="F140" s="555"/>
      <c r="G140" s="393">
        <f>+G45/G62</f>
        <v>2.4107887532177563</v>
      </c>
      <c r="H140" s="393">
        <f t="shared" ref="H140:Q140" si="120">+H45/H62</f>
        <v>1.6101908117101027</v>
      </c>
      <c r="I140" s="393">
        <f t="shared" si="120"/>
        <v>1.6426917112335169</v>
      </c>
      <c r="J140" s="393">
        <f t="shared" si="120"/>
        <v>1.6515018465953015</v>
      </c>
      <c r="K140" s="393">
        <f t="shared" si="120"/>
        <v>1.7513284231649182</v>
      </c>
      <c r="L140" s="393">
        <f t="shared" si="120"/>
        <v>1.7513284231649182</v>
      </c>
      <c r="M140" s="393">
        <f t="shared" si="120"/>
        <v>1.7513284231649184</v>
      </c>
      <c r="N140" s="393">
        <f t="shared" si="120"/>
        <v>1.751328423164918</v>
      </c>
      <c r="O140" s="393">
        <f t="shared" si="120"/>
        <v>1.7513284231649184</v>
      </c>
      <c r="P140" s="393">
        <f t="shared" ref="P140" si="121">+P45/P62</f>
        <v>1.7513284231649182</v>
      </c>
      <c r="Q140" s="393">
        <f t="shared" si="120"/>
        <v>1.7513284231649182</v>
      </c>
    </row>
    <row r="141" spans="2:17">
      <c r="B141" s="555" t="s">
        <v>294</v>
      </c>
      <c r="C141" s="555"/>
      <c r="D141" s="555"/>
      <c r="E141" s="555"/>
      <c r="F141" s="555"/>
      <c r="G141" s="394">
        <f>+(G45-G43)/G62</f>
        <v>1.952368673466633</v>
      </c>
      <c r="H141" s="394">
        <f t="shared" ref="H141:Q141" si="122">+(H45-H43)/H62</f>
        <v>0.99424568763122778</v>
      </c>
      <c r="I141" s="394">
        <f t="shared" si="122"/>
        <v>0.95711982574425492</v>
      </c>
      <c r="J141" s="394">
        <f t="shared" si="122"/>
        <v>1.1824596545098986</v>
      </c>
      <c r="K141" s="394">
        <f t="shared" si="122"/>
        <v>1.1207342137146201</v>
      </c>
      <c r="L141" s="394">
        <f t="shared" si="122"/>
        <v>1.1207342137146201</v>
      </c>
      <c r="M141" s="394">
        <f t="shared" si="122"/>
        <v>1.1207342137146201</v>
      </c>
      <c r="N141" s="394">
        <f t="shared" si="122"/>
        <v>1.1207342137146199</v>
      </c>
      <c r="O141" s="394">
        <f t="shared" si="122"/>
        <v>1.1207342137146203</v>
      </c>
      <c r="P141" s="394">
        <f t="shared" ref="P141" si="123">+(P45-P43)/P62</f>
        <v>1.1207342137146199</v>
      </c>
      <c r="Q141" s="394">
        <f t="shared" si="122"/>
        <v>1.1207342137146203</v>
      </c>
    </row>
    <row r="142" spans="2:17">
      <c r="B142" s="554" t="s">
        <v>295</v>
      </c>
      <c r="C142" s="554"/>
      <c r="D142" s="554"/>
      <c r="E142" s="554"/>
      <c r="F142" s="554"/>
      <c r="G142" s="552"/>
      <c r="H142" s="552"/>
      <c r="I142" s="552"/>
      <c r="J142" s="552"/>
      <c r="K142" s="552"/>
      <c r="L142" s="552"/>
      <c r="M142" s="552"/>
      <c r="N142" s="552"/>
      <c r="O142" s="552"/>
      <c r="P142" s="552"/>
      <c r="Q142" s="552"/>
    </row>
    <row r="143" spans="2:17">
      <c r="B143" s="555" t="s">
        <v>296</v>
      </c>
      <c r="C143" s="555"/>
      <c r="D143" s="555"/>
      <c r="E143" s="555"/>
      <c r="F143" s="555"/>
      <c r="G143" s="351">
        <f>+G69/G54</f>
        <v>0.37549906594302485</v>
      </c>
      <c r="H143" s="351">
        <f t="shared" ref="H143:Q143" si="124">+H69/H54</f>
        <v>0.52838872232354861</v>
      </c>
      <c r="I143" s="351">
        <f t="shared" si="124"/>
        <v>0.52290134065706773</v>
      </c>
      <c r="J143" s="351">
        <f t="shared" si="124"/>
        <v>0.52644132373624364</v>
      </c>
      <c r="K143" s="351">
        <f t="shared" si="124"/>
        <v>0.49983289460404945</v>
      </c>
      <c r="L143" s="351">
        <f t="shared" si="124"/>
        <v>0.4998328946040495</v>
      </c>
      <c r="M143" s="351">
        <f t="shared" si="124"/>
        <v>0.49983289460404939</v>
      </c>
      <c r="N143" s="351">
        <f t="shared" si="124"/>
        <v>0.49983289460404956</v>
      </c>
      <c r="O143" s="351">
        <f t="shared" si="124"/>
        <v>0.49983289460404945</v>
      </c>
      <c r="P143" s="351">
        <f t="shared" ref="P143" si="125">+P69/P54</f>
        <v>0.4998328946040495</v>
      </c>
      <c r="Q143" s="351">
        <f t="shared" si="124"/>
        <v>0.4998328946040495</v>
      </c>
    </row>
    <row r="144" spans="2:17">
      <c r="B144" s="555" t="s">
        <v>297</v>
      </c>
      <c r="C144" s="555"/>
      <c r="D144" s="555"/>
      <c r="E144" s="555"/>
      <c r="F144" s="555"/>
      <c r="G144" s="395">
        <f>+G62/G69</f>
        <v>1</v>
      </c>
      <c r="H144" s="395">
        <f t="shared" ref="H144:Q144" si="126">+H62/H69</f>
        <v>1</v>
      </c>
      <c r="I144" s="395">
        <f t="shared" si="126"/>
        <v>1</v>
      </c>
      <c r="J144" s="395">
        <f t="shared" si="126"/>
        <v>1</v>
      </c>
      <c r="K144" s="395">
        <f t="shared" si="126"/>
        <v>1</v>
      </c>
      <c r="L144" s="395">
        <f t="shared" si="126"/>
        <v>1</v>
      </c>
      <c r="M144" s="395">
        <f t="shared" si="126"/>
        <v>1</v>
      </c>
      <c r="N144" s="395">
        <f t="shared" si="126"/>
        <v>1</v>
      </c>
      <c r="O144" s="395">
        <f t="shared" si="126"/>
        <v>1</v>
      </c>
      <c r="P144" s="395">
        <f t="shared" ref="P144" si="127">+P62/P69</f>
        <v>1</v>
      </c>
      <c r="Q144" s="395">
        <f t="shared" si="126"/>
        <v>1</v>
      </c>
    </row>
    <row r="145" spans="2:17">
      <c r="B145" s="555" t="s">
        <v>298</v>
      </c>
      <c r="C145" s="555"/>
      <c r="D145" s="555"/>
      <c r="E145" s="555"/>
      <c r="F145" s="555"/>
      <c r="G145" s="390">
        <f>+G67/G69</f>
        <v>0</v>
      </c>
      <c r="H145" s="390">
        <f t="shared" ref="H145:Q145" si="128">+H67/H69</f>
        <v>0</v>
      </c>
      <c r="I145" s="390">
        <f t="shared" si="128"/>
        <v>0</v>
      </c>
      <c r="J145" s="390">
        <f t="shared" si="128"/>
        <v>0</v>
      </c>
      <c r="K145" s="390">
        <f t="shared" si="128"/>
        <v>0</v>
      </c>
      <c r="L145" s="390">
        <f t="shared" si="128"/>
        <v>0</v>
      </c>
      <c r="M145" s="390">
        <f t="shared" si="128"/>
        <v>0</v>
      </c>
      <c r="N145" s="390">
        <f t="shared" si="128"/>
        <v>0</v>
      </c>
      <c r="O145" s="390">
        <f t="shared" si="128"/>
        <v>0</v>
      </c>
      <c r="P145" s="390">
        <f t="shared" ref="P145" si="129">+P67/P69</f>
        <v>0</v>
      </c>
      <c r="Q145" s="390">
        <f t="shared" si="128"/>
        <v>0</v>
      </c>
    </row>
    <row r="147" spans="2:17">
      <c r="B147" s="539" t="s">
        <v>299</v>
      </c>
      <c r="C147" s="539"/>
      <c r="D147" s="539"/>
      <c r="E147" s="539"/>
      <c r="F147" s="539"/>
      <c r="G147" s="388">
        <v>2015</v>
      </c>
      <c r="H147" s="388">
        <v>2016</v>
      </c>
      <c r="I147" s="388">
        <v>2017</v>
      </c>
      <c r="J147" s="388">
        <v>2018</v>
      </c>
      <c r="K147" s="388">
        <v>2019</v>
      </c>
      <c r="L147" s="117">
        <v>2020</v>
      </c>
      <c r="M147" s="117">
        <v>2021</v>
      </c>
      <c r="N147" s="117">
        <v>2022</v>
      </c>
      <c r="O147" s="117">
        <v>2023</v>
      </c>
      <c r="P147" s="117">
        <v>2024</v>
      </c>
      <c r="Q147" s="117">
        <v>2025</v>
      </c>
    </row>
    <row r="148" spans="2:17">
      <c r="B148" s="555" t="s">
        <v>300</v>
      </c>
      <c r="C148" s="555"/>
      <c r="D148" s="555"/>
      <c r="E148" s="555"/>
      <c r="F148" s="555"/>
      <c r="G148" s="393">
        <f>+G85/G76</f>
        <v>2.3104713618827191</v>
      </c>
      <c r="H148" s="393">
        <f t="shared" ref="H148:Q148" si="130">+H85/H76</f>
        <v>3.4548051295225064</v>
      </c>
      <c r="I148" s="393">
        <f t="shared" si="130"/>
        <v>4.0478856248859127</v>
      </c>
      <c r="J148" s="393">
        <f t="shared" si="130"/>
        <v>4.2999553737833924</v>
      </c>
      <c r="K148" s="393">
        <f t="shared" si="130"/>
        <v>3.8750890808234217</v>
      </c>
      <c r="L148" s="393">
        <f t="shared" si="130"/>
        <v>3.8750890808234226</v>
      </c>
      <c r="M148" s="393">
        <f t="shared" si="130"/>
        <v>3.8750890808234217</v>
      </c>
      <c r="N148" s="393">
        <f t="shared" si="130"/>
        <v>3.8750890808234231</v>
      </c>
      <c r="O148" s="393">
        <f t="shared" si="130"/>
        <v>3.8750890808234213</v>
      </c>
      <c r="P148" s="393">
        <f t="shared" ref="P148" si="131">+P85/P76</f>
        <v>3.8750890808234222</v>
      </c>
      <c r="Q148" s="393">
        <f t="shared" si="130"/>
        <v>3.8750890808234222</v>
      </c>
    </row>
    <row r="149" spans="2:17">
      <c r="B149" s="555" t="s">
        <v>301</v>
      </c>
      <c r="C149" s="555"/>
      <c r="D149" s="555"/>
      <c r="E149" s="555"/>
      <c r="F149" s="555"/>
      <c r="G149" s="393">
        <f>+G85/G54</f>
        <v>1.4428915236076494</v>
      </c>
      <c r="H149" s="393">
        <f t="shared" ref="H149:Q149" si="132">+H85/H54</f>
        <v>1.6293250612572674</v>
      </c>
      <c r="I149" s="393">
        <f t="shared" si="132"/>
        <v>1.9312408048065965</v>
      </c>
      <c r="J149" s="393">
        <f t="shared" si="132"/>
        <v>2.036281174802089</v>
      </c>
      <c r="K149" s="393">
        <f t="shared" si="132"/>
        <v>1.9381920887069055</v>
      </c>
      <c r="L149" s="393">
        <f t="shared" si="132"/>
        <v>1.9381920887069055</v>
      </c>
      <c r="M149" s="393">
        <f t="shared" si="132"/>
        <v>1.9381920887069055</v>
      </c>
      <c r="N149" s="393">
        <f t="shared" si="132"/>
        <v>1.938192088706906</v>
      </c>
      <c r="O149" s="393">
        <f t="shared" si="132"/>
        <v>1.9381920887069055</v>
      </c>
      <c r="P149" s="393">
        <f t="shared" ref="P149" si="133">+P85/P54</f>
        <v>1.9381920887069055</v>
      </c>
      <c r="Q149" s="393">
        <f t="shared" si="132"/>
        <v>1.9381920887069055</v>
      </c>
    </row>
    <row r="150" spans="2:17">
      <c r="B150" s="555" t="s">
        <v>302</v>
      </c>
      <c r="C150" s="555"/>
      <c r="D150" s="555"/>
      <c r="E150" s="555"/>
      <c r="F150" s="555"/>
      <c r="G150" s="391">
        <f>+G85/G42</f>
        <v>2.684566767039938</v>
      </c>
      <c r="H150" s="391">
        <f t="shared" ref="H150:Q150" si="134">+H85/H42</f>
        <v>5.6986311975657946</v>
      </c>
      <c r="I150" s="391">
        <f t="shared" si="134"/>
        <v>7.2900021252114833</v>
      </c>
      <c r="J150" s="391">
        <f t="shared" si="134"/>
        <v>5.9067925391361387</v>
      </c>
      <c r="K150" s="391">
        <f t="shared" si="134"/>
        <v>6.3385549229615465</v>
      </c>
      <c r="L150" s="391">
        <f t="shared" si="134"/>
        <v>6.3385549229615474</v>
      </c>
      <c r="M150" s="391">
        <f t="shared" si="134"/>
        <v>6.3385549229615465</v>
      </c>
      <c r="N150" s="391">
        <f t="shared" si="134"/>
        <v>6.3385549229615465</v>
      </c>
      <c r="O150" s="391">
        <f t="shared" si="134"/>
        <v>6.3385549229615465</v>
      </c>
      <c r="P150" s="391">
        <f t="shared" ref="P150" si="135">+P85/P42</f>
        <v>6.3385549229615465</v>
      </c>
      <c r="Q150" s="391">
        <f t="shared" si="134"/>
        <v>6.3385549229615465</v>
      </c>
    </row>
    <row r="151" spans="2:17">
      <c r="B151" s="555" t="s">
        <v>303</v>
      </c>
      <c r="C151" s="555"/>
      <c r="D151" s="555"/>
      <c r="E151" s="555"/>
      <c r="F151" s="555"/>
      <c r="G151" s="394">
        <f>+(G42/G85)*365</f>
        <v>135.9623476239546</v>
      </c>
      <c r="H151" s="394">
        <f t="shared" ref="H151:Q151" si="136">+(H42/H85)*365</f>
        <v>64.050468848714402</v>
      </c>
      <c r="I151" s="394">
        <f t="shared" si="136"/>
        <v>50.068572509423149</v>
      </c>
      <c r="J151" s="394">
        <f t="shared" si="136"/>
        <v>61.793265563611754</v>
      </c>
      <c r="K151" s="394">
        <f t="shared" si="136"/>
        <v>57.58410307020926</v>
      </c>
      <c r="L151" s="394">
        <f t="shared" si="136"/>
        <v>57.584103070209245</v>
      </c>
      <c r="M151" s="394">
        <f t="shared" si="136"/>
        <v>57.58410307020926</v>
      </c>
      <c r="N151" s="394">
        <f t="shared" si="136"/>
        <v>57.58410307020926</v>
      </c>
      <c r="O151" s="394">
        <f t="shared" si="136"/>
        <v>57.58410307020926</v>
      </c>
      <c r="P151" s="394">
        <f t="shared" ref="P151" si="137">+(P42/P85)*365</f>
        <v>57.58410307020926</v>
      </c>
      <c r="Q151" s="394">
        <f t="shared" si="136"/>
        <v>57.58410307020926</v>
      </c>
    </row>
    <row r="152" spans="2:17">
      <c r="B152" s="555" t="s">
        <v>304</v>
      </c>
      <c r="C152" s="555"/>
      <c r="D152" s="555"/>
      <c r="E152" s="555"/>
      <c r="F152" s="555"/>
      <c r="G152" s="394">
        <f>+(G43/G86)*365</f>
        <v>50.31520571544219</v>
      </c>
      <c r="H152" s="394">
        <f t="shared" ref="H152:Q152" si="138">+(H43/H86)*365</f>
        <v>74.286924230808694</v>
      </c>
      <c r="I152" s="394">
        <f t="shared" si="138"/>
        <v>74.463924349026712</v>
      </c>
      <c r="J152" s="394">
        <f t="shared" si="138"/>
        <v>49.845793481150132</v>
      </c>
      <c r="K152" s="394">
        <f t="shared" si="138"/>
        <v>71.060656021771223</v>
      </c>
      <c r="L152" s="394">
        <f t="shared" si="138"/>
        <v>71.060656021771223</v>
      </c>
      <c r="M152" s="394">
        <f t="shared" si="138"/>
        <v>71.060656021771223</v>
      </c>
      <c r="N152" s="394">
        <f t="shared" si="138"/>
        <v>71.060656021771223</v>
      </c>
      <c r="O152" s="394">
        <f t="shared" si="138"/>
        <v>71.060656021771237</v>
      </c>
      <c r="P152" s="394">
        <f t="shared" ref="P152" si="139">+(P43/P86)*365</f>
        <v>71.060656021771223</v>
      </c>
      <c r="Q152" s="394">
        <f t="shared" si="138"/>
        <v>71.060656021771237</v>
      </c>
    </row>
    <row r="153" spans="2:17">
      <c r="B153" s="555" t="s">
        <v>305</v>
      </c>
      <c r="C153" s="555"/>
      <c r="D153" s="555"/>
      <c r="E153" s="555"/>
      <c r="F153" s="555"/>
      <c r="G153" s="394">
        <f>+G151+G152</f>
        <v>186.27755333939677</v>
      </c>
      <c r="H153" s="394">
        <f t="shared" ref="H153:Q153" si="140">+H151+H152</f>
        <v>138.33739307952311</v>
      </c>
      <c r="I153" s="394">
        <f t="shared" si="140"/>
        <v>124.53249685844986</v>
      </c>
      <c r="J153" s="394">
        <f t="shared" si="140"/>
        <v>111.63905904476189</v>
      </c>
      <c r="K153" s="394">
        <f t="shared" si="140"/>
        <v>128.64475909198049</v>
      </c>
      <c r="L153" s="394">
        <f t="shared" si="140"/>
        <v>128.64475909198046</v>
      </c>
      <c r="M153" s="394">
        <f t="shared" si="140"/>
        <v>128.64475909198049</v>
      </c>
      <c r="N153" s="394">
        <f t="shared" si="140"/>
        <v>128.64475909198049</v>
      </c>
      <c r="O153" s="394">
        <f t="shared" si="140"/>
        <v>128.64475909198049</v>
      </c>
      <c r="P153" s="394">
        <f t="shared" ref="P153" si="141">+P151+P152</f>
        <v>128.64475909198049</v>
      </c>
      <c r="Q153" s="394">
        <f t="shared" si="140"/>
        <v>128.64475909198049</v>
      </c>
    </row>
    <row r="154" spans="2:17">
      <c r="B154" s="555" t="s">
        <v>306</v>
      </c>
      <c r="C154" s="555"/>
      <c r="D154" s="555"/>
      <c r="E154" s="555"/>
      <c r="F154" s="555"/>
      <c r="G154" s="394">
        <f>+(G58/G86)*365</f>
        <v>45.210196188521323</v>
      </c>
      <c r="H154" s="394">
        <f t="shared" ref="H154:Q154" si="142">+(H58/H86)*365</f>
        <v>47.935924717943706</v>
      </c>
      <c r="I154" s="394">
        <f t="shared" si="142"/>
        <v>52.802528205129491</v>
      </c>
      <c r="J154" s="394">
        <f t="shared" si="142"/>
        <v>83.458017521916773</v>
      </c>
      <c r="K154" s="394">
        <f t="shared" si="142"/>
        <v>81.024118807468369</v>
      </c>
      <c r="L154" s="394">
        <f>+(L58/L86)*365</f>
        <v>81.024118807468369</v>
      </c>
      <c r="M154" s="394">
        <f t="shared" si="142"/>
        <v>81.024118807468369</v>
      </c>
      <c r="N154" s="394">
        <f t="shared" si="142"/>
        <v>81.024118807468369</v>
      </c>
      <c r="O154" s="394">
        <f t="shared" si="142"/>
        <v>81.024118807468369</v>
      </c>
      <c r="P154" s="394">
        <f t="shared" ref="P154" si="143">+(P58/P86)*365</f>
        <v>81.024118807468383</v>
      </c>
      <c r="Q154" s="394">
        <f t="shared" si="142"/>
        <v>81.024118807468383</v>
      </c>
    </row>
  </sheetData>
  <mergeCells count="131">
    <mergeCell ref="B152:F152"/>
    <mergeCell ref="B153:F153"/>
    <mergeCell ref="B154:F154"/>
    <mergeCell ref="B147:F147"/>
    <mergeCell ref="B148:F148"/>
    <mergeCell ref="B149:F149"/>
    <mergeCell ref="B150:F150"/>
    <mergeCell ref="B151:F151"/>
    <mergeCell ref="B142:F142"/>
    <mergeCell ref="G142:Q142"/>
    <mergeCell ref="B143:F143"/>
    <mergeCell ref="B144:F144"/>
    <mergeCell ref="B145:F145"/>
    <mergeCell ref="B138:F138"/>
    <mergeCell ref="G138:Q138"/>
    <mergeCell ref="B139:F139"/>
    <mergeCell ref="B140:F140"/>
    <mergeCell ref="B141:F141"/>
    <mergeCell ref="B135:F135"/>
    <mergeCell ref="B136:F136"/>
    <mergeCell ref="B137:F137"/>
    <mergeCell ref="G133:Q133"/>
    <mergeCell ref="B129:F129"/>
    <mergeCell ref="B130:F130"/>
    <mergeCell ref="B132:F132"/>
    <mergeCell ref="B133:F133"/>
    <mergeCell ref="B134:F134"/>
    <mergeCell ref="B124:F124"/>
    <mergeCell ref="B125:F125"/>
    <mergeCell ref="B126:F126"/>
    <mergeCell ref="B128:F128"/>
    <mergeCell ref="B117:F117"/>
    <mergeCell ref="B118:F118"/>
    <mergeCell ref="B120:F120"/>
    <mergeCell ref="B123:F123"/>
    <mergeCell ref="B112:F112"/>
    <mergeCell ref="B113:F113"/>
    <mergeCell ref="B114:F114"/>
    <mergeCell ref="B116:F116"/>
    <mergeCell ref="B111:F111"/>
    <mergeCell ref="B121:F121"/>
    <mergeCell ref="B122:F122"/>
    <mergeCell ref="B110:F110"/>
    <mergeCell ref="B108:Q109"/>
    <mergeCell ref="B43:F43"/>
    <mergeCell ref="B44:F44"/>
    <mergeCell ref="B47:F47"/>
    <mergeCell ref="B48:F48"/>
    <mergeCell ref="B89:F89"/>
    <mergeCell ref="B90:F90"/>
    <mergeCell ref="B94:F94"/>
    <mergeCell ref="B95:F95"/>
    <mergeCell ref="B66:F66"/>
    <mergeCell ref="B67:F67"/>
    <mergeCell ref="B60:F60"/>
    <mergeCell ref="B54:F54"/>
    <mergeCell ref="B49:F49"/>
    <mergeCell ref="B50:F50"/>
    <mergeCell ref="B45:F45"/>
    <mergeCell ref="B51:F51"/>
    <mergeCell ref="B52:F52"/>
    <mergeCell ref="B62:F62"/>
    <mergeCell ref="B63:F63"/>
    <mergeCell ref="S79:T79"/>
    <mergeCell ref="B33:R34"/>
    <mergeCell ref="B35:R35"/>
    <mergeCell ref="B36:R36"/>
    <mergeCell ref="B37:R37"/>
    <mergeCell ref="B46:F46"/>
    <mergeCell ref="T58:AC58"/>
    <mergeCell ref="B38:F38"/>
    <mergeCell ref="B39:F39"/>
    <mergeCell ref="B40:F40"/>
    <mergeCell ref="B41:F41"/>
    <mergeCell ref="B42:F42"/>
    <mergeCell ref="B75:F75"/>
    <mergeCell ref="B76:F76"/>
    <mergeCell ref="B72:F72"/>
    <mergeCell ref="B73:F73"/>
    <mergeCell ref="B69:F69"/>
    <mergeCell ref="B71:F71"/>
    <mergeCell ref="B74:F74"/>
    <mergeCell ref="B1:R5"/>
    <mergeCell ref="B9:R10"/>
    <mergeCell ref="B11:R11"/>
    <mergeCell ref="B12:R12"/>
    <mergeCell ref="B13:R13"/>
    <mergeCell ref="B27:F27"/>
    <mergeCell ref="H30:K30"/>
    <mergeCell ref="L30:Q30"/>
    <mergeCell ref="B14:R14"/>
    <mergeCell ref="B15:F15"/>
    <mergeCell ref="B24:F24"/>
    <mergeCell ref="L23:Q23"/>
    <mergeCell ref="G23:K23"/>
    <mergeCell ref="B30:F30"/>
    <mergeCell ref="B29:F29"/>
    <mergeCell ref="B28:F28"/>
    <mergeCell ref="L84:Q84"/>
    <mergeCell ref="B98:F98"/>
    <mergeCell ref="B78:F78"/>
    <mergeCell ref="B80:F80"/>
    <mergeCell ref="B83:F83"/>
    <mergeCell ref="B84:F84"/>
    <mergeCell ref="B85:F85"/>
    <mergeCell ref="B91:F91"/>
    <mergeCell ref="B92:F92"/>
    <mergeCell ref="B93:F93"/>
    <mergeCell ref="B86:F86"/>
    <mergeCell ref="B87:F87"/>
    <mergeCell ref="B88:F88"/>
    <mergeCell ref="B96:F96"/>
    <mergeCell ref="B97:F97"/>
    <mergeCell ref="T14:AD14"/>
    <mergeCell ref="AB23:AF23"/>
    <mergeCell ref="U23:Y23"/>
    <mergeCell ref="B65:F65"/>
    <mergeCell ref="B56:F56"/>
    <mergeCell ref="B57:F57"/>
    <mergeCell ref="B58:F58"/>
    <mergeCell ref="B59:F59"/>
    <mergeCell ref="B17:R18"/>
    <mergeCell ref="B19:R19"/>
    <mergeCell ref="B20:R20"/>
    <mergeCell ref="B21:R21"/>
    <mergeCell ref="B22:R22"/>
    <mergeCell ref="B25:F25"/>
    <mergeCell ref="B26:F26"/>
    <mergeCell ref="B64:F64"/>
    <mergeCell ref="B61:F61"/>
    <mergeCell ref="B32:R32"/>
  </mergeCells>
  <dataValidations count="1">
    <dataValidation type="list" allowBlank="1" showInputMessage="1" showErrorMessage="1" sqref="B30:G30">
      <formula1>"1,2,3"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17</xdr:col>
                <xdr:colOff>485775</xdr:colOff>
                <xdr:row>69</xdr:row>
                <xdr:rowOff>76200</xdr:rowOff>
              </from>
              <to>
                <xdr:col>18</xdr:col>
                <xdr:colOff>1428750</xdr:colOff>
                <xdr:row>71</xdr:row>
                <xdr:rowOff>104775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B050"/>
  </sheetPr>
  <dimension ref="A1:U196"/>
  <sheetViews>
    <sheetView zoomScale="90" zoomScaleNormal="90" workbookViewId="0">
      <selection activeCell="B6" sqref="B6:R6"/>
    </sheetView>
  </sheetViews>
  <sheetFormatPr baseColWidth="10" defaultRowHeight="15"/>
  <cols>
    <col min="1" max="1" width="11.42578125" style="328"/>
    <col min="2" max="3" width="11.42578125" style="1"/>
    <col min="4" max="4" width="14.28515625" style="1" customWidth="1"/>
    <col min="5" max="5" width="15.5703125" style="1" customWidth="1"/>
    <col min="6" max="6" width="24.5703125" style="1" customWidth="1"/>
    <col min="7" max="7" width="17.28515625" style="1" customWidth="1"/>
    <col min="8" max="8" width="16.85546875" style="1" customWidth="1"/>
    <col min="9" max="9" width="17.5703125" style="1" customWidth="1"/>
    <col min="10" max="10" width="21" style="1" customWidth="1"/>
    <col min="11" max="11" width="18.42578125" style="1" customWidth="1"/>
    <col min="12" max="12" width="15.42578125" style="1" customWidth="1"/>
    <col min="13" max="13" width="11.42578125" style="1"/>
    <col min="14" max="14" width="12.5703125" style="1" bestFit="1" customWidth="1"/>
    <col min="15" max="15" width="12.42578125" style="1" customWidth="1"/>
    <col min="16" max="16" width="16" style="1" customWidth="1"/>
    <col min="17" max="17" width="15.85546875" style="1" customWidth="1"/>
    <col min="18" max="18" width="13.7109375" style="1" customWidth="1"/>
    <col min="19" max="20" width="11.42578125" style="1"/>
    <col min="21" max="21" width="15.7109375" style="1" bestFit="1" customWidth="1"/>
    <col min="22" max="16384" width="11.42578125" style="1"/>
  </cols>
  <sheetData>
    <row r="1" spans="2:18">
      <c r="B1" s="577" t="s">
        <v>42</v>
      </c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9"/>
    </row>
    <row r="2" spans="2:18" ht="15.75" thickBot="1">
      <c r="B2" s="580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2"/>
    </row>
    <row r="3" spans="2:18" ht="23.25">
      <c r="B3" s="469" t="s">
        <v>268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606"/>
    </row>
    <row r="4" spans="2:18">
      <c r="B4" s="459" t="s">
        <v>41</v>
      </c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90"/>
    </row>
    <row r="5" spans="2:18">
      <c r="B5" s="459" t="s">
        <v>310</v>
      </c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90"/>
    </row>
    <row r="6" spans="2:18" ht="15.75" thickBot="1">
      <c r="B6" s="461" t="s">
        <v>2</v>
      </c>
      <c r="C6" s="462"/>
      <c r="D6" s="462"/>
      <c r="E6" s="462"/>
      <c r="F6" s="462"/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521"/>
    </row>
    <row r="7" spans="2:18" ht="20.25" thickBot="1">
      <c r="B7" s="607" t="s">
        <v>52</v>
      </c>
      <c r="C7" s="608"/>
      <c r="D7" s="608"/>
      <c r="E7" s="608"/>
      <c r="F7" s="608"/>
      <c r="G7" s="609"/>
      <c r="H7" s="52"/>
      <c r="I7" s="52"/>
      <c r="J7" s="52"/>
      <c r="K7" s="52"/>
      <c r="L7" s="52"/>
      <c r="M7" s="52"/>
      <c r="N7" s="52"/>
      <c r="O7" s="52"/>
      <c r="P7" s="52"/>
    </row>
    <row r="8" spans="2:18" ht="20.25" thickBot="1">
      <c r="B8" s="626" t="s">
        <v>43</v>
      </c>
      <c r="C8" s="627"/>
      <c r="D8" s="627"/>
      <c r="E8" s="627"/>
      <c r="F8" s="627"/>
      <c r="G8" s="628"/>
      <c r="H8" s="52"/>
      <c r="I8" s="52"/>
      <c r="J8" s="607" t="s">
        <v>90</v>
      </c>
      <c r="K8" s="608"/>
      <c r="L8" s="608"/>
      <c r="M8" s="608"/>
      <c r="N8" s="608"/>
      <c r="O8" s="609"/>
      <c r="P8" s="52"/>
    </row>
    <row r="9" spans="2:18" ht="45.75" thickBot="1">
      <c r="B9" s="622" t="s">
        <v>91</v>
      </c>
      <c r="C9" s="623"/>
      <c r="D9" s="623"/>
      <c r="E9" s="623"/>
      <c r="F9" s="624"/>
      <c r="G9" s="117">
        <f>'Analisis Financiero'!K24</f>
        <v>2019</v>
      </c>
      <c r="H9" s="52"/>
      <c r="I9" s="52"/>
      <c r="J9" s="231" t="s">
        <v>53</v>
      </c>
      <c r="K9" s="232" t="s">
        <v>57</v>
      </c>
      <c r="L9" s="232" t="s">
        <v>44</v>
      </c>
      <c r="M9" s="232" t="s">
        <v>45</v>
      </c>
      <c r="N9" s="232" t="s">
        <v>46</v>
      </c>
      <c r="O9" s="233" t="s">
        <v>47</v>
      </c>
      <c r="P9" s="56"/>
    </row>
    <row r="10" spans="2:18" ht="18">
      <c r="B10" s="621" t="s">
        <v>54</v>
      </c>
      <c r="C10" s="621"/>
      <c r="D10" s="621"/>
      <c r="E10" s="621"/>
      <c r="F10" s="621"/>
      <c r="G10" s="58">
        <f>AVERAGE(L10:L19)</f>
        <v>4.35069572829615E-2</v>
      </c>
      <c r="H10" s="614" t="s">
        <v>62</v>
      </c>
      <c r="I10" s="61"/>
      <c r="J10" s="215">
        <v>2010</v>
      </c>
      <c r="K10" s="51">
        <v>0.14821092278719414</v>
      </c>
      <c r="L10" s="51">
        <v>8.4629338803557719E-2</v>
      </c>
      <c r="M10" s="51">
        <v>1.6400399999999999E-2</v>
      </c>
      <c r="N10" s="51">
        <v>3.1699999999999999E-2</v>
      </c>
      <c r="O10" s="51">
        <v>1.72E-2</v>
      </c>
      <c r="P10" s="57"/>
      <c r="Q10" s="21"/>
    </row>
    <row r="11" spans="2:18">
      <c r="B11" s="625" t="s">
        <v>48</v>
      </c>
      <c r="C11" s="625"/>
      <c r="D11" s="625"/>
      <c r="E11" s="625"/>
      <c r="F11" s="625"/>
      <c r="G11" s="58">
        <f>AVERAGE(M10:M19)</f>
        <v>1.8196170000000001E-2</v>
      </c>
      <c r="H11" s="614"/>
      <c r="I11" s="61"/>
      <c r="J11" s="215">
        <v>2011</v>
      </c>
      <c r="K11" s="51">
        <v>2.09837473362805E-2</v>
      </c>
      <c r="L11" s="51">
        <v>0.16035334999461354</v>
      </c>
      <c r="M11" s="51">
        <v>3.1568399999999996E-2</v>
      </c>
      <c r="N11" s="51">
        <v>3.73E-2</v>
      </c>
      <c r="O11" s="51">
        <v>1.95E-2</v>
      </c>
      <c r="P11" s="57"/>
    </row>
    <row r="12" spans="2:18">
      <c r="B12" s="621" t="s">
        <v>49</v>
      </c>
      <c r="C12" s="621"/>
      <c r="D12" s="621"/>
      <c r="E12" s="621"/>
      <c r="F12" s="621"/>
      <c r="G12" s="59">
        <f>((1+G10)/(1+G11))-1</f>
        <v>2.4858458545332862E-2</v>
      </c>
      <c r="H12" s="614"/>
      <c r="I12" s="61"/>
      <c r="J12" s="215">
        <v>2012</v>
      </c>
      <c r="K12" s="51">
        <v>0.15890585241730293</v>
      </c>
      <c r="L12" s="51">
        <v>2.971571978018946E-2</v>
      </c>
      <c r="M12" s="51">
        <v>2.0693400000000001E-2</v>
      </c>
      <c r="N12" s="51">
        <v>2.4400000000000002E-2</v>
      </c>
      <c r="O12" s="51">
        <v>1.12E-2</v>
      </c>
      <c r="P12" s="57"/>
    </row>
    <row r="13" spans="2:18">
      <c r="B13" s="54"/>
      <c r="C13" s="52"/>
      <c r="D13" s="52"/>
      <c r="E13" s="52"/>
      <c r="F13" s="52"/>
      <c r="G13" s="52"/>
      <c r="H13" s="614"/>
      <c r="I13" s="61"/>
      <c r="J13" s="215">
        <v>2013</v>
      </c>
      <c r="K13" s="51">
        <v>0.32145085858125483</v>
      </c>
      <c r="L13" s="51">
        <v>-9.104568794347262E-2</v>
      </c>
      <c r="M13" s="51">
        <v>1.4648300000000001E-2</v>
      </c>
      <c r="N13" s="51">
        <v>1.9400000000000001E-2</v>
      </c>
      <c r="O13" s="51">
        <v>1.66E-2</v>
      </c>
      <c r="P13" s="57"/>
    </row>
    <row r="14" spans="2:18">
      <c r="B14" s="625" t="s">
        <v>50</v>
      </c>
      <c r="C14" s="625"/>
      <c r="D14" s="625"/>
      <c r="E14" s="625"/>
      <c r="F14" s="625"/>
      <c r="G14" s="58">
        <f>AVERAGE(N10:N19)</f>
        <v>3.8529999999999995E-2</v>
      </c>
      <c r="H14" s="614"/>
      <c r="I14" s="61"/>
      <c r="J14" s="215">
        <v>2014</v>
      </c>
      <c r="K14" s="51">
        <v>0.13524421649462237</v>
      </c>
      <c r="L14" s="51">
        <v>0.10746180452004755</v>
      </c>
      <c r="M14" s="51">
        <v>1.6222199999999999E-2</v>
      </c>
      <c r="N14" s="51">
        <v>3.6600000000000001E-2</v>
      </c>
      <c r="O14" s="51">
        <v>1.9599999999999999E-2</v>
      </c>
      <c r="P14" s="57"/>
    </row>
    <row r="15" spans="2:18">
      <c r="B15" s="621" t="s">
        <v>55</v>
      </c>
      <c r="C15" s="621"/>
      <c r="D15" s="621"/>
      <c r="E15" s="621"/>
      <c r="F15" s="621"/>
      <c r="G15" s="59">
        <f>((1+G14)*(1+G12))-1</f>
        <v>6.4346254953084436E-2</v>
      </c>
      <c r="H15" s="614"/>
      <c r="I15" s="61"/>
      <c r="J15" s="215">
        <v>2015</v>
      </c>
      <c r="K15" s="51">
        <v>1.3788916411676138E-2</v>
      </c>
      <c r="L15" s="51">
        <v>1.2842996709792224E-2</v>
      </c>
      <c r="M15" s="51">
        <v>1.1862999999999999E-3</v>
      </c>
      <c r="N15" s="51">
        <v>6.7699999999999996E-2</v>
      </c>
      <c r="O15" s="51">
        <v>3.2099999999999997E-2</v>
      </c>
      <c r="P15" s="57"/>
    </row>
    <row r="16" spans="2:18">
      <c r="B16" s="54"/>
      <c r="C16" s="52"/>
      <c r="D16" s="52"/>
      <c r="E16" s="52"/>
      <c r="F16" s="52"/>
      <c r="G16" s="52"/>
      <c r="H16" s="52"/>
      <c r="I16" s="52"/>
      <c r="J16" s="215">
        <v>2016</v>
      </c>
      <c r="K16" s="51">
        <v>0.11773080874798171</v>
      </c>
      <c r="L16" s="51">
        <v>6.9055046987477921E-3</v>
      </c>
      <c r="M16" s="51">
        <v>1.26158E-2</v>
      </c>
      <c r="N16" s="51">
        <v>5.7500000000000002E-2</v>
      </c>
      <c r="O16" s="51">
        <v>2.2700000000000001E-2</v>
      </c>
      <c r="P16" s="57"/>
    </row>
    <row r="17" spans="2:16">
      <c r="B17" s="620" t="s">
        <v>51</v>
      </c>
      <c r="C17" s="620"/>
      <c r="D17" s="620"/>
      <c r="E17" s="620"/>
      <c r="F17" s="620"/>
      <c r="G17" s="53">
        <f>AVERAGE(O10:O19)</f>
        <v>1.9550000000000001E-2</v>
      </c>
      <c r="H17" s="615" t="s">
        <v>63</v>
      </c>
      <c r="I17" s="52"/>
      <c r="J17" s="215">
        <v>2017</v>
      </c>
      <c r="K17" s="51">
        <v>0.2160548143449928</v>
      </c>
      <c r="L17" s="51">
        <v>2.8017162707789457E-2</v>
      </c>
      <c r="M17" s="51">
        <v>2.1301100000000003E-2</v>
      </c>
      <c r="N17" s="51">
        <v>4.0899999999999999E-2</v>
      </c>
      <c r="O17" s="51">
        <v>1.7399999999999999E-2</v>
      </c>
      <c r="P17" s="57"/>
    </row>
    <row r="18" spans="2:16">
      <c r="B18" s="617"/>
      <c r="C18" s="618"/>
      <c r="D18" s="618"/>
      <c r="E18" s="618"/>
      <c r="F18" s="618"/>
      <c r="G18" s="619"/>
      <c r="H18" s="615"/>
      <c r="I18" s="52"/>
      <c r="J18" s="215">
        <v>2018</v>
      </c>
      <c r="K18" s="51">
        <v>-4.2268692890885438E-2</v>
      </c>
      <c r="L18" s="51">
        <v>-1.6692385713402633E-4</v>
      </c>
      <c r="M18" s="51">
        <v>2.4425800000000001E-2</v>
      </c>
      <c r="N18" s="51">
        <v>3.1800000000000002E-2</v>
      </c>
      <c r="O18" s="51">
        <v>2.3099999999999999E-2</v>
      </c>
      <c r="P18" s="57"/>
    </row>
    <row r="19" spans="2:16">
      <c r="B19" s="54"/>
      <c r="C19" s="52"/>
      <c r="D19" s="52"/>
      <c r="E19" s="52"/>
      <c r="F19" s="52"/>
      <c r="G19" s="52"/>
      <c r="H19" s="52"/>
      <c r="I19" s="52"/>
      <c r="J19" s="215">
        <v>2019</v>
      </c>
      <c r="K19" s="51">
        <v>0.31223647206653782</v>
      </c>
      <c r="L19" s="51">
        <v>9.6356307415483927E-2</v>
      </c>
      <c r="M19" s="51">
        <v>2.29E-2</v>
      </c>
      <c r="N19" s="51">
        <v>3.7999999999999999E-2</v>
      </c>
      <c r="O19" s="51">
        <v>1.61E-2</v>
      </c>
      <c r="P19" s="57"/>
    </row>
    <row r="20" spans="2:16" ht="18">
      <c r="B20" s="611" t="s">
        <v>59</v>
      </c>
      <c r="C20" s="611"/>
      <c r="D20" s="611"/>
      <c r="E20" s="611"/>
      <c r="F20" s="611"/>
      <c r="G20" s="27">
        <f>AVERAGE(K10:K19)</f>
        <v>0.14023379162969576</v>
      </c>
      <c r="H20" s="616" t="s">
        <v>61</v>
      </c>
      <c r="J20" s="52"/>
      <c r="P20" s="57"/>
    </row>
    <row r="21" spans="2:16">
      <c r="B21" s="612" t="s">
        <v>48</v>
      </c>
      <c r="C21" s="612"/>
      <c r="D21" s="612"/>
      <c r="E21" s="612"/>
      <c r="F21" s="612"/>
      <c r="G21" s="58">
        <f>G11</f>
        <v>1.8196170000000001E-2</v>
      </c>
      <c r="H21" s="616"/>
    </row>
    <row r="22" spans="2:16">
      <c r="B22" s="613" t="s">
        <v>60</v>
      </c>
      <c r="C22" s="613"/>
      <c r="D22" s="613"/>
      <c r="E22" s="613"/>
      <c r="F22" s="613"/>
      <c r="G22" s="59">
        <f>((1+G20)/(1+G21))-1</f>
        <v>0.11985668894206891</v>
      </c>
      <c r="H22" s="616"/>
    </row>
    <row r="23" spans="2:16">
      <c r="H23" s="616"/>
    </row>
    <row r="24" spans="2:16">
      <c r="B24" s="612" t="s">
        <v>50</v>
      </c>
      <c r="C24" s="612"/>
      <c r="D24" s="612"/>
      <c r="E24" s="612"/>
      <c r="F24" s="612"/>
      <c r="G24" s="58">
        <f>G14</f>
        <v>3.8529999999999995E-2</v>
      </c>
      <c r="H24" s="616"/>
    </row>
    <row r="25" spans="2:16">
      <c r="B25" s="613" t="s">
        <v>58</v>
      </c>
      <c r="C25" s="613"/>
      <c r="D25" s="613"/>
      <c r="E25" s="613"/>
      <c r="F25" s="613"/>
      <c r="G25" s="60">
        <f>((1+G24)*(1+G22))-1</f>
        <v>0.16300476716700674</v>
      </c>
      <c r="H25" s="616"/>
    </row>
    <row r="27" spans="2:16" ht="18">
      <c r="B27" s="610" t="s">
        <v>56</v>
      </c>
      <c r="C27" s="610"/>
      <c r="D27" s="610"/>
      <c r="E27" s="610"/>
      <c r="F27" s="610"/>
      <c r="G27" s="55">
        <f>G25-G15</f>
        <v>9.86585122139223E-2</v>
      </c>
    </row>
    <row r="30" spans="2:16">
      <c r="B30" s="463" t="s">
        <v>64</v>
      </c>
      <c r="C30" s="463"/>
      <c r="D30" s="463"/>
      <c r="E30" s="463"/>
      <c r="F30" s="463"/>
      <c r="G30" s="63">
        <v>0.67</v>
      </c>
      <c r="H30" s="64" t="s">
        <v>73</v>
      </c>
    </row>
    <row r="32" spans="2:16">
      <c r="G32" s="25">
        <f>'Analisis Financiero'!L24</f>
        <v>2020</v>
      </c>
      <c r="H32" s="25">
        <f>'Analisis Financiero'!M24</f>
        <v>2021</v>
      </c>
      <c r="I32" s="25">
        <f>'Analisis Financiero'!N24</f>
        <v>2022</v>
      </c>
      <c r="J32" s="25">
        <f>'Analisis Financiero'!O24</f>
        <v>2023</v>
      </c>
      <c r="K32" s="25">
        <v>2024</v>
      </c>
      <c r="L32" s="25">
        <v>2025</v>
      </c>
    </row>
    <row r="33" spans="2:12">
      <c r="B33" s="635" t="s">
        <v>66</v>
      </c>
      <c r="C33" s="635"/>
      <c r="D33" s="635"/>
      <c r="E33" s="635"/>
      <c r="F33" s="635"/>
      <c r="G33" s="12">
        <f>'Analisis Financiero'!K57+'Analisis Financiero'!K64</f>
        <v>1950000</v>
      </c>
      <c r="H33" s="12">
        <f>'Analisis Financiero'!L57+'Analisis Financiero'!L64</f>
        <v>1852604.3250000002</v>
      </c>
      <c r="I33" s="12">
        <f>'Analisis Financiero'!M57+'Analisis Financiero'!M64</f>
        <v>2034122.4967635006</v>
      </c>
      <c r="J33" s="12">
        <f>'Analisis Financiero'!N57+'Analisis Financiero'!N64</f>
        <v>2210379.2111080578</v>
      </c>
      <c r="K33" s="12">
        <f>'Analisis Financiero'!O57+'Analisis Financiero'!O64</f>
        <v>2390525.1168133649</v>
      </c>
      <c r="L33" s="346">
        <f>'Analisis Financiero'!P57+'Analisis Financiero'!P64</f>
        <v>2575503.9503523833</v>
      </c>
    </row>
    <row r="34" spans="2:12">
      <c r="B34" s="635" t="s">
        <v>65</v>
      </c>
      <c r="C34" s="635"/>
      <c r="D34" s="635"/>
      <c r="E34" s="635"/>
      <c r="F34" s="635"/>
      <c r="G34" s="12">
        <f>'Analisis Financiero'!K76</f>
        <v>12216434</v>
      </c>
      <c r="H34" s="12">
        <f>'Analisis Financiero'!L76</f>
        <v>11606265.879218999</v>
      </c>
      <c r="I34" s="12">
        <f>'Analisis Financiero'!M76</f>
        <v>12743447.810064882</v>
      </c>
      <c r="J34" s="12">
        <f>'Analisis Financiero'!N76</f>
        <v>13847667.562806997</v>
      </c>
      <c r="K34" s="12">
        <f>'Analisis Financiero'!O76</f>
        <v>14976252.469175778</v>
      </c>
      <c r="L34" s="346">
        <f>'Analisis Financiero'!P76</f>
        <v>16135114.885240596</v>
      </c>
    </row>
    <row r="35" spans="2:12">
      <c r="B35" s="635" t="s">
        <v>67</v>
      </c>
      <c r="C35" s="635"/>
      <c r="D35" s="635"/>
      <c r="E35" s="635"/>
      <c r="F35" s="635"/>
      <c r="G35" s="62">
        <f>$G$30*(1+(1-('Analisis Financiero'!L97/'Analisis Financiero'!L96))*G33/G34)</f>
        <v>0.7649843564941855</v>
      </c>
      <c r="H35" s="62">
        <f>$G$30*(1+(1-('Analisis Financiero'!M97/'Analisis Financiero'!M96))*H33/H34)</f>
        <v>0.76498435649418561</v>
      </c>
      <c r="I35" s="62">
        <f>$G$30*(1+(1-('Analisis Financiero'!N97/'Analisis Financiero'!N96))*I33/I34)</f>
        <v>0.7649843564941855</v>
      </c>
      <c r="J35" s="62">
        <f>$G$30*(1+(1-('Analisis Financiero'!O97/'Analisis Financiero'!O96))*J33/J34)</f>
        <v>0.76498435649418561</v>
      </c>
      <c r="K35" s="62">
        <f>$G$30*(1+(1-('Analisis Financiero'!P97/'Analisis Financiero'!P96))*K33/K34)</f>
        <v>0.7649843564941855</v>
      </c>
      <c r="L35" s="342">
        <f>$G$30*(1+(1-('Analisis Financiero'!Q97/'Analisis Financiero'!Q96))*L33/L34)</f>
        <v>0.76498435649418561</v>
      </c>
    </row>
    <row r="36" spans="2:12">
      <c r="L36" s="328"/>
    </row>
    <row r="37" spans="2:12" ht="18">
      <c r="B37" s="636" t="s">
        <v>68</v>
      </c>
      <c r="C37" s="636"/>
      <c r="D37" s="636"/>
      <c r="E37" s="636"/>
      <c r="F37" s="636"/>
      <c r="G37" s="22">
        <f>$G$15+($G$25-$G$15)*G35+$G$17</f>
        <v>0.15936847343172555</v>
      </c>
      <c r="H37" s="22">
        <f t="shared" ref="H37:K37" si="0">$G$15+($G$25-$G$15)*H35+$G$17</f>
        <v>0.15936847343172555</v>
      </c>
      <c r="I37" s="22">
        <f t="shared" si="0"/>
        <v>0.15936847343172555</v>
      </c>
      <c r="J37" s="22">
        <f t="shared" si="0"/>
        <v>0.15936847343172555</v>
      </c>
      <c r="K37" s="22">
        <f t="shared" si="0"/>
        <v>0.15936847343172555</v>
      </c>
      <c r="L37" s="331">
        <f t="shared" ref="L37" si="1">$G$15+($G$25-$G$15)*L35+$G$17</f>
        <v>0.15936847343172555</v>
      </c>
    </row>
    <row r="38" spans="2:12">
      <c r="L38" s="328"/>
    </row>
    <row r="39" spans="2:12">
      <c r="L39" s="328"/>
    </row>
    <row r="40" spans="2:12">
      <c r="B40" s="637" t="s">
        <v>70</v>
      </c>
      <c r="C40" s="638"/>
      <c r="D40" s="638"/>
      <c r="E40" s="638"/>
      <c r="F40" s="639"/>
      <c r="G40" s="15">
        <f>G33/(G33+G34)</f>
        <v>0.13764931951117693</v>
      </c>
      <c r="H40" s="15">
        <f t="shared" ref="H40:K40" si="2">H33/(H33+H34)</f>
        <v>0.13764931951117695</v>
      </c>
      <c r="I40" s="15">
        <f t="shared" si="2"/>
        <v>0.1376493195111769</v>
      </c>
      <c r="J40" s="15">
        <f t="shared" si="2"/>
        <v>0.13764931951117695</v>
      </c>
      <c r="K40" s="15">
        <f t="shared" si="2"/>
        <v>0.1376493195111769</v>
      </c>
      <c r="L40" s="329">
        <f t="shared" ref="L40" si="3">L33/(L33+L34)</f>
        <v>0.13764931951117695</v>
      </c>
    </row>
    <row r="41" spans="2:12">
      <c r="B41" s="637" t="s">
        <v>69</v>
      </c>
      <c r="C41" s="638"/>
      <c r="D41" s="638"/>
      <c r="E41" s="638"/>
      <c r="F41" s="639"/>
      <c r="G41" s="15">
        <f>G34/(G33+G34)</f>
        <v>0.86235068048882313</v>
      </c>
      <c r="H41" s="15">
        <f t="shared" ref="H41:K41" si="4">H34/(H33+H34)</f>
        <v>0.86235068048882313</v>
      </c>
      <c r="I41" s="15">
        <f t="shared" si="4"/>
        <v>0.86235068048882302</v>
      </c>
      <c r="J41" s="15">
        <f t="shared" si="4"/>
        <v>0.86235068048882302</v>
      </c>
      <c r="K41" s="15">
        <f t="shared" si="4"/>
        <v>0.86235068048882313</v>
      </c>
      <c r="L41" s="329">
        <f t="shared" ref="L41" si="5">L34/(L33+L34)</f>
        <v>0.86235068048882313</v>
      </c>
    </row>
    <row r="42" spans="2:12">
      <c r="B42" s="652" t="s">
        <v>72</v>
      </c>
      <c r="C42" s="653"/>
      <c r="D42" s="653"/>
      <c r="E42" s="653"/>
      <c r="F42" s="654"/>
      <c r="G42" s="22">
        <f>SUM(G40:G41)</f>
        <v>1</v>
      </c>
      <c r="H42" s="22">
        <f t="shared" ref="H42:K42" si="6">SUM(H40:H41)</f>
        <v>1</v>
      </c>
      <c r="I42" s="22">
        <f t="shared" si="6"/>
        <v>0.99999999999999989</v>
      </c>
      <c r="J42" s="22">
        <f t="shared" si="6"/>
        <v>1</v>
      </c>
      <c r="K42" s="22">
        <f t="shared" si="6"/>
        <v>1</v>
      </c>
      <c r="L42" s="331">
        <f t="shared" ref="L42" si="7">SUM(L40:L41)</f>
        <v>1</v>
      </c>
    </row>
    <row r="43" spans="2:12">
      <c r="L43" s="328"/>
    </row>
    <row r="44" spans="2:12">
      <c r="B44" s="635" t="s">
        <v>71</v>
      </c>
      <c r="C44" s="635"/>
      <c r="D44" s="635"/>
      <c r="E44" s="635"/>
      <c r="F44" s="635"/>
      <c r="G44" s="16">
        <f>'Analisis Financiero'!Z16*(1-('Analisis Financiero'!L97/'Analisis Financiero'!L96))</f>
        <v>8.2598102839160401E-2</v>
      </c>
      <c r="H44" s="16">
        <f>'Analisis Financiero'!AA16*(1-('Analisis Financiero'!M97/'Analisis Financiero'!M96))</f>
        <v>7.4071847062212592E-2</v>
      </c>
      <c r="I44" s="16">
        <f>'Analisis Financiero'!AB16*(1-('Analisis Financiero'!N97/'Analisis Financiero'!N96))</f>
        <v>6.7694918262370479E-2</v>
      </c>
      <c r="J44" s="16">
        <f>'Analisis Financiero'!AC16*(1-('Analisis Financiero'!O97/'Analisis Financiero'!O96))</f>
        <v>5.5754607568073128E-2</v>
      </c>
      <c r="K44" s="16">
        <f>'Analisis Financiero'!AD16*(1-('Analisis Financiero'!P97/'Analisis Financiero'!P96))</f>
        <v>3.8712753833900174E-2</v>
      </c>
      <c r="L44" s="330">
        <f>'Analisis Financiero'!AD16*(1-('Analisis Financiero'!Q97/'Analisis Financiero'!Q96))</f>
        <v>3.8712753833900174E-2</v>
      </c>
    </row>
    <row r="45" spans="2:12">
      <c r="L45" s="328"/>
    </row>
    <row r="46" spans="2:12">
      <c r="B46" s="635" t="s">
        <v>74</v>
      </c>
      <c r="C46" s="635"/>
      <c r="D46" s="635"/>
      <c r="E46" s="635"/>
      <c r="F46" s="635"/>
      <c r="G46" s="15">
        <f>G40*G44</f>
        <v>1.136957264872464E-2</v>
      </c>
      <c r="H46" s="15">
        <f t="shared" ref="H46:K46" si="8">H40*H44</f>
        <v>1.0195939343049534E-2</v>
      </c>
      <c r="I46" s="15">
        <f t="shared" si="8"/>
        <v>9.3181594331800382E-3</v>
      </c>
      <c r="J46" s="15">
        <f t="shared" si="8"/>
        <v>7.6745837913579831E-3</v>
      </c>
      <c r="K46" s="15">
        <f t="shared" si="8"/>
        <v>5.3287842216400635E-3</v>
      </c>
      <c r="L46" s="329">
        <f t="shared" ref="L46" si="9">L40*L44</f>
        <v>5.3287842216400653E-3</v>
      </c>
    </row>
    <row r="47" spans="2:12">
      <c r="B47" s="635" t="s">
        <v>75</v>
      </c>
      <c r="C47" s="635"/>
      <c r="D47" s="635"/>
      <c r="E47" s="635"/>
      <c r="F47" s="635"/>
      <c r="G47" s="15">
        <f>G41*G37</f>
        <v>0.13743151151231345</v>
      </c>
      <c r="H47" s="15">
        <f t="shared" ref="H47:K47" si="10">H41*H37</f>
        <v>0.13743151151231345</v>
      </c>
      <c r="I47" s="15">
        <f t="shared" si="10"/>
        <v>0.13743151151231345</v>
      </c>
      <c r="J47" s="15">
        <f t="shared" si="10"/>
        <v>0.13743151151231345</v>
      </c>
      <c r="K47" s="15">
        <f t="shared" si="10"/>
        <v>0.13743151151231345</v>
      </c>
      <c r="L47" s="329">
        <f t="shared" ref="L47" si="11">L41*L37</f>
        <v>0.13743151151231345</v>
      </c>
    </row>
    <row r="48" spans="2:12">
      <c r="L48" s="328"/>
    </row>
    <row r="49" spans="2:18">
      <c r="B49" s="655" t="s">
        <v>76</v>
      </c>
      <c r="C49" s="655"/>
      <c r="D49" s="655"/>
      <c r="E49" s="655"/>
      <c r="F49" s="655"/>
      <c r="G49" s="16">
        <f>SUM(G46:G47)</f>
        <v>0.1488010841610381</v>
      </c>
      <c r="H49" s="16">
        <f t="shared" ref="H49:K49" si="12">SUM(H46:H47)</f>
        <v>0.147627450855363</v>
      </c>
      <c r="I49" s="16">
        <f t="shared" si="12"/>
        <v>0.14674967094549349</v>
      </c>
      <c r="J49" s="16">
        <f t="shared" si="12"/>
        <v>0.14510609530367144</v>
      </c>
      <c r="K49" s="16">
        <f t="shared" si="12"/>
        <v>0.14276029573395352</v>
      </c>
      <c r="L49" s="330">
        <f t="shared" ref="L49" si="13">SUM(L46:L47)</f>
        <v>0.14276029573395352</v>
      </c>
    </row>
    <row r="50" spans="2:18" ht="15.75" thickBot="1">
      <c r="B50" s="50"/>
      <c r="C50" s="50"/>
      <c r="D50" s="50"/>
      <c r="E50" s="50"/>
      <c r="F50" s="50"/>
      <c r="G50" s="69"/>
      <c r="H50" s="69"/>
      <c r="I50" s="69"/>
      <c r="J50" s="69"/>
      <c r="K50" s="69"/>
    </row>
    <row r="51" spans="2:18" ht="15" customHeight="1">
      <c r="B51" s="577" t="s">
        <v>89</v>
      </c>
      <c r="C51" s="578"/>
      <c r="D51" s="578"/>
      <c r="E51" s="578"/>
      <c r="F51" s="578"/>
      <c r="G51" s="578"/>
      <c r="H51" s="578"/>
      <c r="I51" s="578"/>
      <c r="J51" s="578"/>
      <c r="K51" s="579"/>
      <c r="L51" s="70"/>
      <c r="M51" s="70"/>
      <c r="N51" s="70"/>
      <c r="O51" s="70"/>
      <c r="P51" s="70"/>
      <c r="Q51" s="70"/>
      <c r="R51" s="70"/>
    </row>
    <row r="52" spans="2:18" ht="15.75" customHeight="1" thickBot="1">
      <c r="B52" s="580"/>
      <c r="C52" s="581"/>
      <c r="D52" s="581"/>
      <c r="E52" s="581"/>
      <c r="F52" s="581"/>
      <c r="G52" s="581"/>
      <c r="H52" s="581"/>
      <c r="I52" s="581"/>
      <c r="J52" s="581"/>
      <c r="K52" s="582"/>
      <c r="L52" s="70"/>
      <c r="M52" s="70"/>
      <c r="N52" s="70"/>
      <c r="O52" s="70"/>
      <c r="P52" s="70"/>
      <c r="Q52" s="70"/>
      <c r="R52" s="70"/>
    </row>
    <row r="53" spans="2:18" ht="15.75" thickBot="1"/>
    <row r="54" spans="2:18">
      <c r="B54" s="71"/>
      <c r="C54" s="656"/>
      <c r="D54" s="657"/>
      <c r="E54" s="657"/>
      <c r="F54" s="658"/>
      <c r="G54" s="77">
        <f t="shared" ref="G54:L54" si="14">G32</f>
        <v>2020</v>
      </c>
      <c r="H54" s="77">
        <f t="shared" si="14"/>
        <v>2021</v>
      </c>
      <c r="I54" s="77">
        <f t="shared" si="14"/>
        <v>2022</v>
      </c>
      <c r="J54" s="77">
        <f t="shared" si="14"/>
        <v>2023</v>
      </c>
      <c r="K54" s="77">
        <f t="shared" si="14"/>
        <v>2024</v>
      </c>
      <c r="L54" s="77">
        <f t="shared" si="14"/>
        <v>2025</v>
      </c>
    </row>
    <row r="55" spans="2:18">
      <c r="B55" s="72"/>
      <c r="C55" s="644" t="s">
        <v>77</v>
      </c>
      <c r="D55" s="645"/>
      <c r="E55" s="645"/>
      <c r="F55" s="646"/>
      <c r="G55" s="260">
        <f>'Analisis Financiero'!L98</f>
        <v>3125321.7465704745</v>
      </c>
      <c r="H55" s="260">
        <f>'Analisis Financiero'!M98</f>
        <v>3431540.7712994535</v>
      </c>
      <c r="I55" s="260">
        <f>'Analisis Financiero'!N98</f>
        <v>3728883.7791325501</v>
      </c>
      <c r="J55" s="260">
        <f>'Analisis Financiero'!O98</f>
        <v>4032787.8071318599</v>
      </c>
      <c r="K55" s="260">
        <f>'Analisis Financiero'!P98</f>
        <v>4344844.9276477201</v>
      </c>
      <c r="L55" s="260">
        <f>'Analisis Financiero'!Q98</f>
        <v>4663148.2670471948</v>
      </c>
    </row>
    <row r="56" spans="2:18">
      <c r="B56" s="73"/>
      <c r="C56" s="644" t="s">
        <v>78</v>
      </c>
      <c r="D56" s="645"/>
      <c r="E56" s="645"/>
      <c r="F56" s="646"/>
      <c r="G56" s="261">
        <f>'Analisis Financiero'!L97</f>
        <v>393583.80259248172</v>
      </c>
      <c r="H56" s="261">
        <f>'Analisis Financiero'!M97</f>
        <v>432147.14357049315</v>
      </c>
      <c r="I56" s="261">
        <f>'Analisis Financiero'!N97</f>
        <v>469592.69356087636</v>
      </c>
      <c r="J56" s="261">
        <f>'Analisis Financiero'!O97</f>
        <v>507864.49808608781</v>
      </c>
      <c r="K56" s="261">
        <f>'Analisis Financiero'!P97</f>
        <v>547163.05294798932</v>
      </c>
      <c r="L56" s="261">
        <f>'Analisis Financiero'!Q97</f>
        <v>587248.21820695908</v>
      </c>
    </row>
    <row r="57" spans="2:18" ht="15.75" thickBot="1">
      <c r="B57" s="73"/>
      <c r="C57" s="644" t="s">
        <v>79</v>
      </c>
      <c r="D57" s="645"/>
      <c r="E57" s="645"/>
      <c r="F57" s="646"/>
      <c r="G57" s="262">
        <f>'Analisis Financiero'!L94</f>
        <v>898056.13764912321</v>
      </c>
      <c r="H57" s="262">
        <f>'Analisis Financiero'!M94</f>
        <v>986047.67801598448</v>
      </c>
      <c r="I57" s="262">
        <f>'Analisis Financiero'!N94</f>
        <v>1071488.7093160695</v>
      </c>
      <c r="J57" s="262">
        <f>'Analisis Financiero'!O94</f>
        <v>1158815.0391253293</v>
      </c>
      <c r="K57" s="262">
        <f>'Analisis Financiero'!P94</f>
        <v>1248484.1468528472</v>
      </c>
      <c r="L57" s="262">
        <f>'Analisis Financiero'!Q94</f>
        <v>1339948.095451287</v>
      </c>
    </row>
    <row r="58" spans="2:18">
      <c r="B58" s="73"/>
      <c r="C58" s="647" t="s">
        <v>80</v>
      </c>
      <c r="D58" s="648"/>
      <c r="E58" s="648"/>
      <c r="F58" s="649"/>
      <c r="G58" s="263">
        <f>G55+G56+G57</f>
        <v>4416961.6868120795</v>
      </c>
      <c r="H58" s="263">
        <f t="shared" ref="H58:K58" si="15">H55+H56+H57</f>
        <v>4849735.592885931</v>
      </c>
      <c r="I58" s="263">
        <f t="shared" si="15"/>
        <v>5269965.1820094958</v>
      </c>
      <c r="J58" s="263">
        <f t="shared" si="15"/>
        <v>5699467.3443432767</v>
      </c>
      <c r="K58" s="263">
        <f t="shared" si="15"/>
        <v>6140492.1274485569</v>
      </c>
      <c r="L58" s="263">
        <f t="shared" ref="L58" si="16">L55+L56+L57</f>
        <v>6590344.5807054406</v>
      </c>
    </row>
    <row r="59" spans="2:18">
      <c r="B59" s="73"/>
      <c r="C59" s="67"/>
      <c r="D59" s="65"/>
      <c r="E59" s="65"/>
      <c r="F59" s="65"/>
      <c r="G59" s="65"/>
      <c r="H59" s="65"/>
      <c r="I59" s="65"/>
      <c r="J59" s="65"/>
      <c r="K59" s="65"/>
      <c r="L59" s="65"/>
    </row>
    <row r="60" spans="2:18" ht="23.25" customHeight="1" thickBot="1">
      <c r="B60" s="73"/>
      <c r="C60" s="659" t="s">
        <v>81</v>
      </c>
      <c r="D60" s="660"/>
      <c r="E60" s="660"/>
      <c r="F60" s="661"/>
      <c r="G60" s="262">
        <f>(G58*('Analisis Financiero'!L97/'Analisis Financiero'!L96))</f>
        <v>494029.90569449216</v>
      </c>
      <c r="H60" s="262">
        <f>(H58*('Analisis Financiero'!M97/'Analisis Financiero'!M96))</f>
        <v>542434.95585443848</v>
      </c>
      <c r="I60" s="262">
        <f>(I58*('Analisis Financiero'!N97/'Analisis Financiero'!N96))</f>
        <v>589436.94477922563</v>
      </c>
      <c r="J60" s="262">
        <f>(J58*('Analisis Financiero'!O97/'Analisis Financiero'!O96))</f>
        <v>637476.05577873229</v>
      </c>
      <c r="K60" s="262">
        <f>(K58*('Analisis Financiero'!P97/'Analisis Financiero'!P96))</f>
        <v>686803.95297489082</v>
      </c>
      <c r="L60" s="262">
        <f>(L58*('Analisis Financiero'!Q97/'Analisis Financiero'!Q96))</f>
        <v>737119.21056983131</v>
      </c>
    </row>
    <row r="61" spans="2:18">
      <c r="B61" s="73"/>
      <c r="C61" s="640" t="s">
        <v>82</v>
      </c>
      <c r="D61" s="630"/>
      <c r="E61" s="630"/>
      <c r="F61" s="631"/>
      <c r="G61" s="264">
        <f>G58-G60</f>
        <v>3922931.7811175874</v>
      </c>
      <c r="H61" s="264">
        <f t="shared" ref="H61:K61" si="17">H58-H60</f>
        <v>4307300.6370314928</v>
      </c>
      <c r="I61" s="264">
        <f t="shared" si="17"/>
        <v>4680528.2372302702</v>
      </c>
      <c r="J61" s="264">
        <f t="shared" si="17"/>
        <v>5061991.2885645442</v>
      </c>
      <c r="K61" s="264">
        <f t="shared" si="17"/>
        <v>5453688.1744736657</v>
      </c>
      <c r="L61" s="264">
        <f t="shared" ref="L61" si="18">L58-L60</f>
        <v>5853225.3701356091</v>
      </c>
    </row>
    <row r="62" spans="2:18">
      <c r="B62" s="73"/>
      <c r="C62" s="67"/>
      <c r="D62" s="65"/>
      <c r="E62" s="65"/>
      <c r="F62" s="65"/>
      <c r="G62" s="65"/>
      <c r="H62" s="65"/>
      <c r="I62" s="65"/>
      <c r="J62" s="65"/>
      <c r="K62" s="65"/>
      <c r="L62" s="65"/>
    </row>
    <row r="63" spans="2:18">
      <c r="B63" s="73"/>
      <c r="C63" s="641" t="s">
        <v>83</v>
      </c>
      <c r="D63" s="642"/>
      <c r="E63" s="642"/>
      <c r="F63" s="643"/>
      <c r="G63" s="261">
        <f>'Analisis Financiero'!L103</f>
        <v>4131101.8</v>
      </c>
      <c r="H63" s="261">
        <f>'Analisis Financiero'!M103</f>
        <v>4284745.16</v>
      </c>
      <c r="I63" s="261">
        <f>'Analisis Financiero'!N103</f>
        <v>4372413.9920000006</v>
      </c>
      <c r="J63" s="261">
        <f>'Analisis Financiero'!O103</f>
        <v>4396057.1903999997</v>
      </c>
      <c r="K63" s="261">
        <f>'Analisis Financiero'!P103</f>
        <v>4376004.8284799997</v>
      </c>
      <c r="L63" s="261">
        <f>'Analisis Financiero'!Q103</f>
        <v>4312064.594176</v>
      </c>
    </row>
    <row r="64" spans="2:18">
      <c r="B64" s="73"/>
      <c r="C64" s="644" t="s">
        <v>140</v>
      </c>
      <c r="D64" s="645"/>
      <c r="E64" s="645"/>
      <c r="F64" s="646"/>
      <c r="G64" s="261">
        <f>'Analisis Financiero'!L104</f>
        <v>68698.8</v>
      </c>
      <c r="H64" s="261">
        <f>'Analisis Financiero'!M104</f>
        <v>72056.36</v>
      </c>
      <c r="I64" s="261">
        <f>'Analisis Financiero'!N104</f>
        <v>74590.631999999998</v>
      </c>
      <c r="J64" s="261">
        <f>'Analisis Financiero'!O104</f>
        <v>76349.758399999992</v>
      </c>
      <c r="K64" s="261">
        <f>'Analisis Financiero'!P104</f>
        <v>76349.758399999992</v>
      </c>
      <c r="L64" s="261">
        <f>'Analisis Financiero'!Q104</f>
        <v>76195.310079999996</v>
      </c>
    </row>
    <row r="65" spans="2:12">
      <c r="B65" s="73"/>
      <c r="C65" s="644" t="s">
        <v>141</v>
      </c>
      <c r="D65" s="645"/>
      <c r="E65" s="645"/>
      <c r="F65" s="646"/>
      <c r="G65" s="261"/>
      <c r="H65" s="265"/>
      <c r="I65" s="265"/>
      <c r="J65" s="265"/>
      <c r="K65" s="265"/>
      <c r="L65" s="265"/>
    </row>
    <row r="66" spans="2:12">
      <c r="B66" s="74"/>
      <c r="C66" s="640" t="s">
        <v>84</v>
      </c>
      <c r="D66" s="630"/>
      <c r="E66" s="630"/>
      <c r="F66" s="631"/>
      <c r="G66" s="264">
        <f>G61+G63+G64+G65</f>
        <v>8122732.381117587</v>
      </c>
      <c r="H66" s="264">
        <f t="shared" ref="H66:K66" si="19">H61+H63+H64+H65</f>
        <v>8664102.1570314914</v>
      </c>
      <c r="I66" s="264">
        <f t="shared" si="19"/>
        <v>9127532.8612302691</v>
      </c>
      <c r="J66" s="264">
        <f t="shared" si="19"/>
        <v>9534398.2373645455</v>
      </c>
      <c r="K66" s="264">
        <f t="shared" si="19"/>
        <v>9906042.761353666</v>
      </c>
      <c r="L66" s="264">
        <f t="shared" ref="L66" si="20">L61+L63+L64+L65</f>
        <v>10241485.274391608</v>
      </c>
    </row>
    <row r="67" spans="2:12">
      <c r="B67" s="73"/>
      <c r="C67" s="67"/>
      <c r="D67" s="65"/>
      <c r="E67" s="65"/>
      <c r="F67" s="65"/>
      <c r="G67" s="65"/>
      <c r="H67" s="65"/>
      <c r="I67" s="65"/>
      <c r="J67" s="65"/>
      <c r="K67" s="65"/>
      <c r="L67" s="65"/>
    </row>
    <row r="68" spans="2:12">
      <c r="B68" s="267"/>
      <c r="C68" s="650" t="s">
        <v>85</v>
      </c>
      <c r="D68" s="642"/>
      <c r="E68" s="642"/>
      <c r="F68" s="643"/>
      <c r="G68" s="261">
        <f>G74-F74</f>
        <v>-319114.98122399952</v>
      </c>
      <c r="H68" s="261">
        <f t="shared" ref="H68:L68" si="21">H74-G74</f>
        <v>594740.65941967536</v>
      </c>
      <c r="I68" s="261">
        <f t="shared" si="21"/>
        <v>577501.59941565432</v>
      </c>
      <c r="J68" s="261">
        <f t="shared" si="21"/>
        <v>590244.45712532289</v>
      </c>
      <c r="K68" s="261">
        <f t="shared" si="21"/>
        <v>606079.44851392135</v>
      </c>
      <c r="L68" s="261">
        <f t="shared" si="21"/>
        <v>618210.89704493992</v>
      </c>
    </row>
    <row r="69" spans="2:12" ht="15.75" thickBot="1">
      <c r="B69" s="267"/>
      <c r="C69" s="651" t="s">
        <v>192</v>
      </c>
      <c r="D69" s="645"/>
      <c r="E69" s="645"/>
      <c r="F69" s="646"/>
      <c r="G69" s="261">
        <f>'Analisis Financiero'!L49-'Analisis Financiero'!K49</f>
        <v>-112743.58514549956</v>
      </c>
      <c r="H69" s="261">
        <f>'Analisis Financiero'!M49-'Analisis Financiero'!L49</f>
        <v>210122.36378744431</v>
      </c>
      <c r="I69" s="261">
        <f>'Analisis Financiero'!N49-'Analisis Financiero'!M49</f>
        <v>204031.78971932409</v>
      </c>
      <c r="J69" s="261">
        <f>'Analisis Financiero'!O49-'Analisis Financiero'!N49</f>
        <v>208533.85182144353</v>
      </c>
      <c r="K69" s="261">
        <f>'Analisis Financiero'!P49-'Analisis Financiero'!O49</f>
        <v>214128.36729373829</v>
      </c>
      <c r="L69" s="261">
        <f>'Analisis Financiero'!P49-'Analisis Financiero'!Q49</f>
        <v>-218414.41803052509</v>
      </c>
    </row>
    <row r="70" spans="2:12" ht="15.75" thickBot="1">
      <c r="B70" s="268"/>
      <c r="C70" s="629" t="s">
        <v>87</v>
      </c>
      <c r="D70" s="630"/>
      <c r="E70" s="630"/>
      <c r="F70" s="631"/>
      <c r="G70" s="266">
        <f>SUM(G68:G69)</f>
        <v>-431858.56636949908</v>
      </c>
      <c r="H70" s="266">
        <f t="shared" ref="H70:K70" si="22">SUM(H68:H69)</f>
        <v>804863.02320711967</v>
      </c>
      <c r="I70" s="266">
        <f t="shared" si="22"/>
        <v>781533.38913497841</v>
      </c>
      <c r="J70" s="266">
        <f t="shared" si="22"/>
        <v>798778.30894676642</v>
      </c>
      <c r="K70" s="266">
        <f t="shared" si="22"/>
        <v>820207.81580765964</v>
      </c>
      <c r="L70" s="266">
        <f t="shared" ref="L70" si="23">SUM(L68:L69)</f>
        <v>399796.47901441483</v>
      </c>
    </row>
    <row r="71" spans="2:12" ht="13.5" customHeight="1">
      <c r="B71" s="75"/>
      <c r="C71" s="68"/>
      <c r="D71" s="66"/>
      <c r="E71" s="66"/>
      <c r="F71" s="66"/>
      <c r="G71" s="66"/>
      <c r="H71" s="66"/>
      <c r="I71" s="66"/>
      <c r="J71" s="66"/>
      <c r="K71" s="66"/>
      <c r="L71" s="66"/>
    </row>
    <row r="72" spans="2:12" ht="18.75" thickBot="1">
      <c r="B72" s="76"/>
      <c r="C72" s="632" t="s">
        <v>88</v>
      </c>
      <c r="D72" s="633"/>
      <c r="E72" s="633"/>
      <c r="F72" s="634"/>
      <c r="G72" s="269">
        <f>G66-G70</f>
        <v>8554590.9474870861</v>
      </c>
      <c r="H72" s="269">
        <f t="shared" ref="H72:K72" si="24">H66-H70</f>
        <v>7859239.1338243717</v>
      </c>
      <c r="I72" s="269">
        <f t="shared" si="24"/>
        <v>8345999.4720952902</v>
      </c>
      <c r="J72" s="269">
        <f t="shared" si="24"/>
        <v>8735619.9284177795</v>
      </c>
      <c r="K72" s="269">
        <f t="shared" si="24"/>
        <v>9085834.9455460068</v>
      </c>
      <c r="L72" s="269">
        <f t="shared" ref="L72" si="25">L66-L70</f>
        <v>9841688.795377193</v>
      </c>
    </row>
    <row r="73" spans="2:12">
      <c r="B73" s="111" t="s">
        <v>244</v>
      </c>
      <c r="L73" s="328"/>
    </row>
    <row r="74" spans="2:12" ht="15.75" thickBot="1">
      <c r="B74" s="565" t="s">
        <v>245</v>
      </c>
      <c r="C74" s="566"/>
      <c r="D74" s="566"/>
      <c r="E74" s="567"/>
      <c r="F74" s="182">
        <f>'Analisis Financiero'!K42+'Analisis Financiero'!K43-'Analisis Financiero'!K58</f>
        <v>6389136</v>
      </c>
      <c r="G74" s="182">
        <f>'Analisis Financiero'!L42+'Analisis Financiero'!L43-'Analisis Financiero'!L58</f>
        <v>6070021.0187760005</v>
      </c>
      <c r="H74" s="182">
        <f>'Analisis Financiero'!M42+'Analisis Financiero'!M43-'Analisis Financiero'!M58</f>
        <v>6664761.6781956758</v>
      </c>
      <c r="I74" s="182">
        <f>'Analisis Financiero'!N42+'Analisis Financiero'!N43-'Analisis Financiero'!N58</f>
        <v>7242263.2776113302</v>
      </c>
      <c r="J74" s="182">
        <f>'Analisis Financiero'!O42+'Analisis Financiero'!O43-'Analisis Financiero'!O58</f>
        <v>7832507.734736653</v>
      </c>
      <c r="K74" s="182">
        <f>'Analisis Financiero'!P42+'Analisis Financiero'!P43-'Analisis Financiero'!P58</f>
        <v>8438587.1832505744</v>
      </c>
      <c r="L74" s="182">
        <f>'Analisis Financiero'!Q42+'Analisis Financiero'!Q43-'Analisis Financiero'!Q58</f>
        <v>9056798.0802955143</v>
      </c>
    </row>
    <row r="75" spans="2:12">
      <c r="B75" s="577" t="s">
        <v>92</v>
      </c>
      <c r="C75" s="578"/>
      <c r="D75" s="578"/>
      <c r="E75" s="578"/>
      <c r="F75" s="578"/>
      <c r="G75" s="578"/>
      <c r="H75" s="578"/>
      <c r="I75" s="578"/>
      <c r="J75" s="578"/>
      <c r="K75" s="579"/>
    </row>
    <row r="76" spans="2:12" ht="15.75" thickBot="1">
      <c r="B76" s="580"/>
      <c r="C76" s="581"/>
      <c r="D76" s="581"/>
      <c r="E76" s="581"/>
      <c r="F76" s="581"/>
      <c r="G76" s="581"/>
      <c r="H76" s="581"/>
      <c r="I76" s="581"/>
      <c r="J76" s="581"/>
      <c r="K76" s="582"/>
    </row>
    <row r="79" spans="2:12">
      <c r="K79" s="77">
        <v>2025</v>
      </c>
    </row>
    <row r="80" spans="2:12">
      <c r="F80" s="79" t="s">
        <v>96</v>
      </c>
      <c r="G80" s="583" t="s">
        <v>93</v>
      </c>
      <c r="H80" s="584"/>
      <c r="I80" s="584"/>
      <c r="J80" s="584"/>
      <c r="K80" s="80">
        <f>L72</f>
        <v>9841688.795377193</v>
      </c>
    </row>
    <row r="81" spans="2:13">
      <c r="F81" s="79" t="s">
        <v>102</v>
      </c>
      <c r="G81" s="583" t="s">
        <v>94</v>
      </c>
      <c r="H81" s="584"/>
      <c r="I81" s="584"/>
      <c r="J81" s="584"/>
      <c r="K81" s="114">
        <f>L49</f>
        <v>0.14276029573395352</v>
      </c>
    </row>
    <row r="82" spans="2:13">
      <c r="F82" s="81" t="s">
        <v>95</v>
      </c>
      <c r="G82" s="82" t="s">
        <v>103</v>
      </c>
      <c r="H82" s="83"/>
      <c r="I82" s="84">
        <f>CHOOSE('Analisis Financiero'!$G$30,AVERAGE('Analisis Financiero'!L26:Q26),AVERAGE('Analisis Financiero'!U26:Y26),AVERAGE('Analisis Financiero'!AB26:AF26))</f>
        <v>3.2333333333333339E-2</v>
      </c>
      <c r="J82" s="234">
        <f>CHOOSE('Analisis Financiero'!$G$30,AVERAGE('Analisis Financiero'!L25:Q25),AVERAGE('Analisis Financiero'!U25:Y25),AVERAGE('Analisis Financiero'!AB25:AF25))</f>
        <v>2.7683333333333334E-2</v>
      </c>
      <c r="K82" s="85">
        <f>((1+I82)*(1+J82))-1</f>
        <v>6.0911761111110962E-2</v>
      </c>
    </row>
    <row r="83" spans="2:13" ht="15.75" thickBot="1"/>
    <row r="84" spans="2:13" ht="20.25" thickBot="1">
      <c r="F84" s="86" t="s">
        <v>104</v>
      </c>
      <c r="G84" s="601" t="s">
        <v>97</v>
      </c>
      <c r="H84" s="602"/>
      <c r="I84" s="602"/>
      <c r="J84" s="603"/>
      <c r="K84" s="78"/>
    </row>
    <row r="85" spans="2:13">
      <c r="G85" s="597" t="s">
        <v>98</v>
      </c>
      <c r="H85" s="597"/>
      <c r="I85" s="597"/>
      <c r="J85" s="597"/>
      <c r="K85" s="88">
        <f>K72</f>
        <v>9085834.9455460068</v>
      </c>
      <c r="L85" s="571" t="s">
        <v>107</v>
      </c>
      <c r="M85" s="572"/>
    </row>
    <row r="86" spans="2:13">
      <c r="G86" s="598" t="s">
        <v>101</v>
      </c>
      <c r="H86" s="599"/>
      <c r="I86" s="599"/>
      <c r="J86" s="600"/>
      <c r="K86" s="89">
        <f>K81</f>
        <v>0.14276029573395352</v>
      </c>
      <c r="L86" s="573"/>
      <c r="M86" s="574"/>
    </row>
    <row r="87" spans="2:13" ht="15.75" thickBot="1">
      <c r="G87" s="596" t="s">
        <v>99</v>
      </c>
      <c r="H87" s="596"/>
      <c r="I87" s="596"/>
      <c r="J87" s="596"/>
      <c r="K87" s="90">
        <f>K85/K86</f>
        <v>63643990.780729868</v>
      </c>
      <c r="L87" s="575"/>
      <c r="M87" s="576"/>
    </row>
    <row r="88" spans="2:13" ht="15.75" thickBot="1"/>
    <row r="89" spans="2:13" ht="20.25" thickBot="1">
      <c r="F89" s="87" t="s">
        <v>105</v>
      </c>
      <c r="G89" s="601" t="s">
        <v>100</v>
      </c>
      <c r="H89" s="602"/>
      <c r="I89" s="602"/>
      <c r="J89" s="603"/>
      <c r="K89" s="78"/>
    </row>
    <row r="90" spans="2:13" ht="15" customHeight="1">
      <c r="F90" s="78"/>
      <c r="G90" s="665" t="s">
        <v>98</v>
      </c>
      <c r="H90" s="666"/>
      <c r="I90" s="666"/>
      <c r="J90" s="667"/>
      <c r="K90" s="91">
        <f>K80</f>
        <v>9841688.795377193</v>
      </c>
      <c r="L90" s="585" t="s">
        <v>108</v>
      </c>
      <c r="M90" s="586"/>
    </row>
    <row r="91" spans="2:13" ht="15" customHeight="1">
      <c r="F91" s="78"/>
      <c r="G91" s="668" t="s">
        <v>101</v>
      </c>
      <c r="H91" s="669"/>
      <c r="I91" s="669"/>
      <c r="J91" s="670"/>
      <c r="K91" s="92">
        <f>K81</f>
        <v>0.14276029573395352</v>
      </c>
      <c r="L91" s="587"/>
      <c r="M91" s="588"/>
    </row>
    <row r="92" spans="2:13" ht="15.75" customHeight="1">
      <c r="F92" s="78"/>
      <c r="G92" s="668" t="s">
        <v>106</v>
      </c>
      <c r="H92" s="669"/>
      <c r="I92" s="669"/>
      <c r="J92" s="670"/>
      <c r="K92" s="92">
        <f>K82</f>
        <v>6.0911761111110962E-2</v>
      </c>
      <c r="L92" s="587"/>
      <c r="M92" s="588"/>
    </row>
    <row r="93" spans="2:13" ht="15.75" thickBot="1">
      <c r="G93" s="664" t="s">
        <v>189</v>
      </c>
      <c r="H93" s="664"/>
      <c r="I93" s="664"/>
      <c r="J93" s="664"/>
      <c r="K93" s="93">
        <f>K90*(1+K92)/(K91-K92)</f>
        <v>127566894.63438667</v>
      </c>
      <c r="L93" s="589"/>
      <c r="M93" s="590"/>
    </row>
    <row r="95" spans="2:13" ht="15.75" thickBot="1"/>
    <row r="96" spans="2:13" ht="15" customHeight="1">
      <c r="B96" s="662" t="s">
        <v>117</v>
      </c>
      <c r="C96" s="662"/>
      <c r="D96" s="662"/>
      <c r="E96" s="662"/>
      <c r="F96" s="662"/>
      <c r="G96" s="77">
        <f>G54</f>
        <v>2020</v>
      </c>
      <c r="H96" s="77">
        <f>H54</f>
        <v>2021</v>
      </c>
      <c r="I96" s="77">
        <f>I54</f>
        <v>2022</v>
      </c>
      <c r="J96" s="77">
        <f>J54</f>
        <v>2023</v>
      </c>
      <c r="K96" s="105">
        <f>K54</f>
        <v>2024</v>
      </c>
      <c r="L96" s="105">
        <v>2025</v>
      </c>
      <c r="M96" s="675" t="s">
        <v>155</v>
      </c>
    </row>
    <row r="97" spans="2:13">
      <c r="B97" s="591" t="s">
        <v>109</v>
      </c>
      <c r="C97" s="591"/>
      <c r="D97" s="591"/>
      <c r="E97" s="591"/>
      <c r="F97" s="591"/>
      <c r="G97" s="23">
        <f>G49</f>
        <v>0.1488010841610381</v>
      </c>
      <c r="H97" s="23">
        <f t="shared" ref="H97:L97" si="26">H49</f>
        <v>0.147627450855363</v>
      </c>
      <c r="I97" s="23">
        <f t="shared" si="26"/>
        <v>0.14674967094549349</v>
      </c>
      <c r="J97" s="23">
        <f t="shared" si="26"/>
        <v>0.14510609530367144</v>
      </c>
      <c r="K97" s="23">
        <f>K49</f>
        <v>0.14276029573395352</v>
      </c>
      <c r="L97" s="332">
        <f t="shared" si="26"/>
        <v>0.14276029573395352</v>
      </c>
      <c r="M97" s="676"/>
    </row>
    <row r="98" spans="2:13">
      <c r="B98" s="592" t="s">
        <v>110</v>
      </c>
      <c r="C98" s="592"/>
      <c r="D98" s="592"/>
      <c r="E98" s="592"/>
      <c r="F98" s="592"/>
      <c r="G98" s="284">
        <f>G97</f>
        <v>0.1488010841610381</v>
      </c>
      <c r="H98" s="284">
        <f>((1+G98)*(1+H97))-1</f>
        <v>0.31839565975560946</v>
      </c>
      <c r="I98" s="284">
        <f t="shared" ref="I98:L98" si="27">((1+H98)*(1+I97))-1</f>
        <v>0.51186978900071178</v>
      </c>
      <c r="J98" s="284">
        <f t="shared" si="27"/>
        <v>0.73125131069019056</v>
      </c>
      <c r="K98" s="284">
        <f t="shared" si="27"/>
        <v>0.97840525979411685</v>
      </c>
      <c r="L98" s="284">
        <f t="shared" si="27"/>
        <v>1.2608429797639342</v>
      </c>
      <c r="M98" s="676"/>
    </row>
    <row r="99" spans="2:13">
      <c r="B99" s="275"/>
      <c r="C99" s="279"/>
      <c r="D99" s="279"/>
      <c r="E99" s="279"/>
      <c r="F99" s="279"/>
      <c r="G99" s="279"/>
      <c r="H99" s="279"/>
      <c r="I99" s="279"/>
      <c r="J99" s="279"/>
      <c r="K99" s="280"/>
      <c r="L99" s="280"/>
      <c r="M99" s="677"/>
    </row>
    <row r="100" spans="2:13">
      <c r="B100" s="605" t="s">
        <v>111</v>
      </c>
      <c r="C100" s="605"/>
      <c r="D100" s="605"/>
      <c r="E100" s="605"/>
      <c r="F100" s="605"/>
      <c r="G100" s="285">
        <f>G72</f>
        <v>8554590.9474870861</v>
      </c>
      <c r="H100" s="285">
        <f t="shared" ref="H100:K100" si="28">H72</f>
        <v>7859239.1338243717</v>
      </c>
      <c r="I100" s="285">
        <f t="shared" si="28"/>
        <v>8345999.4720952902</v>
      </c>
      <c r="J100" s="285">
        <f t="shared" si="28"/>
        <v>8735619.9284177795</v>
      </c>
      <c r="K100" s="285">
        <f t="shared" si="28"/>
        <v>9085834.9455460068</v>
      </c>
      <c r="L100" s="285">
        <f t="shared" ref="L100" si="29">L72</f>
        <v>9841688.795377193</v>
      </c>
      <c r="M100" s="676"/>
    </row>
    <row r="101" spans="2:13">
      <c r="B101" s="592" t="s">
        <v>112</v>
      </c>
      <c r="C101" s="592"/>
      <c r="D101" s="592"/>
      <c r="E101" s="592"/>
      <c r="F101" s="592"/>
      <c r="G101" s="270"/>
      <c r="H101" s="271"/>
      <c r="I101" s="271"/>
      <c r="J101" s="272"/>
      <c r="K101" s="272"/>
      <c r="L101" s="276">
        <f>K93</f>
        <v>127566894.63438667</v>
      </c>
      <c r="M101" s="676"/>
    </row>
    <row r="102" spans="2:13">
      <c r="B102" s="275"/>
      <c r="C102" s="279"/>
      <c r="D102" s="279"/>
      <c r="E102" s="279"/>
      <c r="F102" s="279"/>
      <c r="G102" s="279"/>
      <c r="H102" s="279"/>
      <c r="I102" s="279"/>
      <c r="J102" s="279"/>
      <c r="K102" s="280"/>
      <c r="L102" s="280"/>
      <c r="M102" s="677"/>
    </row>
    <row r="103" spans="2:13">
      <c r="B103" s="605" t="s">
        <v>113</v>
      </c>
      <c r="C103" s="605"/>
      <c r="D103" s="605"/>
      <c r="E103" s="605"/>
      <c r="F103" s="605"/>
      <c r="G103" s="277">
        <f>(G100/(1+G98))</f>
        <v>7446538.0172708035</v>
      </c>
      <c r="H103" s="277">
        <f t="shared" ref="H103:L103" si="30">(H100/(1+H98))</f>
        <v>5961214.3560008658</v>
      </c>
      <c r="I103" s="277">
        <f t="shared" si="30"/>
        <v>5520316.3214284992</v>
      </c>
      <c r="J103" s="277">
        <f t="shared" si="30"/>
        <v>5045841.6259250008</v>
      </c>
      <c r="K103" s="277">
        <f t="shared" si="30"/>
        <v>4592504.4429428605</v>
      </c>
      <c r="L103" s="277">
        <f t="shared" si="30"/>
        <v>4353105.847450234</v>
      </c>
      <c r="M103" s="676"/>
    </row>
    <row r="104" spans="2:13">
      <c r="B104" s="592" t="s">
        <v>112</v>
      </c>
      <c r="C104" s="592"/>
      <c r="D104" s="592"/>
      <c r="E104" s="592"/>
      <c r="F104" s="663"/>
      <c r="G104" s="270"/>
      <c r="H104" s="271"/>
      <c r="I104" s="271"/>
      <c r="J104" s="272"/>
      <c r="K104" s="273">
        <f>K101/(1+K98)</f>
        <v>0</v>
      </c>
      <c r="L104" s="273"/>
      <c r="M104" s="676"/>
    </row>
    <row r="105" spans="2:13">
      <c r="B105" s="270"/>
      <c r="C105" s="271"/>
      <c r="D105" s="271"/>
      <c r="E105" s="271"/>
      <c r="F105" s="271"/>
      <c r="G105" s="274"/>
      <c r="H105" s="274"/>
      <c r="I105" s="274"/>
      <c r="J105" s="274"/>
      <c r="K105" s="272"/>
      <c r="L105" s="272"/>
      <c r="M105" s="677"/>
    </row>
    <row r="106" spans="2:13">
      <c r="B106" s="605" t="s">
        <v>191</v>
      </c>
      <c r="C106" s="605"/>
      <c r="D106" s="605"/>
      <c r="E106" s="605"/>
      <c r="F106" s="605"/>
      <c r="G106" s="99">
        <f>SUM(G103:K103)</f>
        <v>28566414.763568033</v>
      </c>
      <c r="L106" s="328"/>
      <c r="M106" s="676"/>
    </row>
    <row r="107" spans="2:13">
      <c r="B107" s="591" t="s">
        <v>115</v>
      </c>
      <c r="C107" s="591"/>
      <c r="D107" s="591"/>
      <c r="E107" s="591"/>
      <c r="F107" s="591"/>
      <c r="G107" s="98">
        <f>K104</f>
        <v>0</v>
      </c>
      <c r="L107" s="328"/>
      <c r="M107" s="676"/>
    </row>
    <row r="108" spans="2:13">
      <c r="B108" s="604" t="s">
        <v>116</v>
      </c>
      <c r="C108" s="604"/>
      <c r="D108" s="604"/>
      <c r="E108" s="604"/>
      <c r="F108" s="604"/>
      <c r="G108" s="235">
        <f>SUM(G106:G107)</f>
        <v>28566414.763568033</v>
      </c>
      <c r="L108" s="328"/>
      <c r="M108" s="676"/>
    </row>
    <row r="109" spans="2:13">
      <c r="L109" s="328"/>
      <c r="M109" s="676"/>
    </row>
    <row r="110" spans="2:13">
      <c r="B110" s="591" t="s">
        <v>118</v>
      </c>
      <c r="C110" s="591"/>
      <c r="D110" s="591"/>
      <c r="E110" s="591"/>
      <c r="F110" s="591"/>
      <c r="G110" s="95">
        <f>G108</f>
        <v>28566414.763568033</v>
      </c>
      <c r="L110" s="328"/>
      <c r="M110" s="676"/>
    </row>
    <row r="111" spans="2:13">
      <c r="B111" s="671" t="s">
        <v>119</v>
      </c>
      <c r="C111" s="671"/>
      <c r="D111" s="671"/>
      <c r="E111" s="671"/>
      <c r="F111" s="671"/>
      <c r="G111" s="94">
        <f>'Analisis Financiero'!K62-'Analisis Financiero'!K57</f>
        <v>10258271</v>
      </c>
      <c r="L111" s="328"/>
      <c r="M111" s="676"/>
    </row>
    <row r="112" spans="2:13">
      <c r="B112" s="671" t="s">
        <v>120</v>
      </c>
      <c r="C112" s="671"/>
      <c r="D112" s="671"/>
      <c r="E112" s="671"/>
      <c r="F112" s="671"/>
      <c r="G112" s="94">
        <f>'Analisis Financiero'!K40+'Analisis Financiero'!K41+'Analisis Financiero'!K42+'Analisis Financiero'!K43</f>
        <v>21326398</v>
      </c>
      <c r="L112" s="328"/>
      <c r="M112" s="676"/>
    </row>
    <row r="113" spans="2:13">
      <c r="B113" s="671" t="s">
        <v>143</v>
      </c>
      <c r="C113" s="671"/>
      <c r="D113" s="671"/>
      <c r="E113" s="671"/>
      <c r="F113" s="671"/>
      <c r="G113" s="94">
        <f>'Analisis Financiero'!K57+'Analisis Financiero'!K64</f>
        <v>1950000</v>
      </c>
      <c r="L113" s="328"/>
      <c r="M113" s="676"/>
    </row>
    <row r="114" spans="2:13">
      <c r="B114" s="560" t="s">
        <v>121</v>
      </c>
      <c r="C114" s="560"/>
      <c r="D114" s="560"/>
      <c r="E114" s="560"/>
      <c r="F114" s="560"/>
      <c r="G114" s="236">
        <f>G110-G111+G112-G113</f>
        <v>37684541.763568029</v>
      </c>
      <c r="H114" s="97"/>
      <c r="L114" s="328"/>
      <c r="M114" s="676"/>
    </row>
    <row r="115" spans="2:13">
      <c r="G115" s="96"/>
      <c r="L115" s="328"/>
      <c r="M115" s="676"/>
    </row>
    <row r="116" spans="2:13">
      <c r="B116" s="591" t="s">
        <v>122</v>
      </c>
      <c r="C116" s="591"/>
      <c r="D116" s="591"/>
      <c r="E116" s="591"/>
      <c r="F116" s="591"/>
      <c r="G116" s="94">
        <f>'Analisis Financiero'!K76</f>
        <v>12216434</v>
      </c>
      <c r="L116" s="328"/>
      <c r="M116" s="676"/>
    </row>
    <row r="117" spans="2:13">
      <c r="B117" s="52"/>
      <c r="C117" s="52"/>
      <c r="D117" s="52"/>
      <c r="E117" s="52"/>
      <c r="F117" s="52"/>
      <c r="G117" s="52"/>
      <c r="L117" s="328"/>
      <c r="M117" s="676"/>
    </row>
    <row r="118" spans="2:13">
      <c r="B118" s="591" t="s">
        <v>125</v>
      </c>
      <c r="C118" s="591"/>
      <c r="D118" s="591"/>
      <c r="E118" s="591"/>
      <c r="F118" s="591"/>
      <c r="G118" s="8">
        <v>1500000</v>
      </c>
      <c r="H118" s="328"/>
      <c r="L118" s="328"/>
      <c r="M118" s="676"/>
    </row>
    <row r="119" spans="2:13">
      <c r="B119" s="591" t="s">
        <v>124</v>
      </c>
      <c r="C119" s="591"/>
      <c r="D119" s="591"/>
      <c r="E119" s="591"/>
      <c r="F119" s="591"/>
      <c r="G119" s="100">
        <f>G116/G118</f>
        <v>8.144289333333333</v>
      </c>
      <c r="L119" s="328"/>
      <c r="M119" s="676"/>
    </row>
    <row r="120" spans="2:13">
      <c r="B120" s="591" t="s">
        <v>126</v>
      </c>
      <c r="C120" s="591"/>
      <c r="D120" s="591"/>
      <c r="E120" s="591"/>
      <c r="F120" s="591"/>
      <c r="G120" s="100">
        <f>G114/G118</f>
        <v>25.123027842378686</v>
      </c>
      <c r="L120" s="328"/>
      <c r="M120" s="676"/>
    </row>
    <row r="121" spans="2:13" ht="16.5" thickBot="1">
      <c r="B121" s="672" t="s">
        <v>123</v>
      </c>
      <c r="C121" s="672"/>
      <c r="D121" s="672"/>
      <c r="E121" s="672"/>
      <c r="F121" s="672"/>
      <c r="G121" s="237">
        <f>G120/G119</f>
        <v>3.0847415672665224</v>
      </c>
      <c r="L121" s="328"/>
      <c r="M121" s="678"/>
    </row>
    <row r="124" spans="2:13" ht="15.75" thickBot="1"/>
    <row r="125" spans="2:13">
      <c r="B125" s="577" t="s">
        <v>128</v>
      </c>
      <c r="C125" s="578"/>
      <c r="D125" s="578"/>
      <c r="E125" s="578"/>
      <c r="F125" s="578"/>
      <c r="G125" s="578"/>
      <c r="H125" s="578"/>
      <c r="I125" s="578"/>
      <c r="J125" s="578"/>
      <c r="K125" s="579"/>
    </row>
    <row r="126" spans="2:13" ht="15.75" thickBot="1">
      <c r="B126" s="580"/>
      <c r="C126" s="581"/>
      <c r="D126" s="581"/>
      <c r="E126" s="581"/>
      <c r="F126" s="581"/>
      <c r="G126" s="581"/>
      <c r="H126" s="581"/>
      <c r="I126" s="581"/>
      <c r="J126" s="581"/>
      <c r="K126" s="582"/>
    </row>
    <row r="127" spans="2:13" ht="15.75" thickBot="1"/>
    <row r="128" spans="2:13" ht="15" customHeight="1">
      <c r="B128" s="662" t="s">
        <v>129</v>
      </c>
      <c r="C128" s="662"/>
      <c r="D128" s="662"/>
      <c r="E128" s="662"/>
      <c r="F128" s="662"/>
      <c r="G128" s="77">
        <f>G96</f>
        <v>2020</v>
      </c>
      <c r="H128" s="77">
        <f>H96</f>
        <v>2021</v>
      </c>
      <c r="I128" s="77">
        <f>I96</f>
        <v>2022</v>
      </c>
      <c r="J128" s="77">
        <f>J96</f>
        <v>2023</v>
      </c>
      <c r="K128" s="105">
        <f>K96</f>
        <v>2024</v>
      </c>
      <c r="L128" s="568" t="s">
        <v>127</v>
      </c>
    </row>
    <row r="129" spans="2:12">
      <c r="B129" s="591" t="s">
        <v>130</v>
      </c>
      <c r="C129" s="591"/>
      <c r="D129" s="591"/>
      <c r="E129" s="591"/>
      <c r="F129" s="591"/>
      <c r="G129" s="12">
        <f>'Analisis Financiero'!L54</f>
        <v>23204776.471717503</v>
      </c>
      <c r="H129" s="12">
        <f>'Analisis Financiero'!M54</f>
        <v>25478380.470416389</v>
      </c>
      <c r="I129" s="12">
        <f>'Analisis Financiero'!N54</f>
        <v>27686082.138177961</v>
      </c>
      <c r="J129" s="12">
        <f>'Analisis Financiero'!O54</f>
        <v>29942497.832439475</v>
      </c>
      <c r="K129" s="12">
        <f>'Analisis Financiero'!Q54</f>
        <v>34622775.498249568</v>
      </c>
      <c r="L129" s="569"/>
    </row>
    <row r="130" spans="2:12">
      <c r="B130" s="591" t="s">
        <v>131</v>
      </c>
      <c r="C130" s="591"/>
      <c r="D130" s="591"/>
      <c r="E130" s="591"/>
      <c r="F130" s="591"/>
      <c r="G130" s="8">
        <f>'Analisis Financiero'!L69</f>
        <v>11598510.592498502</v>
      </c>
      <c r="H130" s="8">
        <f>'Analisis Financiero'!M69</f>
        <v>12734932.660351506</v>
      </c>
      <c r="I130" s="8">
        <f>'Analisis Financiero'!N69</f>
        <v>13838414.575370964</v>
      </c>
      <c r="J130" s="8">
        <f>'Analisis Financiero'!O69</f>
        <v>14966245.363263698</v>
      </c>
      <c r="K130" s="8">
        <f>'Analisis Financiero'!Q69</f>
        <v>17305602.096516244</v>
      </c>
      <c r="L130" s="569"/>
    </row>
    <row r="131" spans="2:12">
      <c r="B131" s="591" t="s">
        <v>136</v>
      </c>
      <c r="C131" s="591"/>
      <c r="D131" s="591"/>
      <c r="E131" s="591"/>
      <c r="F131" s="591"/>
      <c r="G131" s="10">
        <f>G129-G130</f>
        <v>11606265.879219001</v>
      </c>
      <c r="H131" s="10">
        <f t="shared" ref="H131:K131" si="31">H129-H130</f>
        <v>12743447.810064884</v>
      </c>
      <c r="I131" s="10">
        <f t="shared" si="31"/>
        <v>13847667.562806997</v>
      </c>
      <c r="J131" s="10">
        <f t="shared" si="31"/>
        <v>14976252.469175776</v>
      </c>
      <c r="K131" s="10">
        <f t="shared" si="31"/>
        <v>17317173.401733324</v>
      </c>
      <c r="L131" s="569"/>
    </row>
    <row r="132" spans="2:12">
      <c r="B132" s="591" t="s">
        <v>132</v>
      </c>
      <c r="C132" s="591"/>
      <c r="D132" s="591"/>
      <c r="E132" s="591"/>
      <c r="F132" s="591"/>
      <c r="G132" s="20">
        <f>G131/$G$118</f>
        <v>7.7375105861460005</v>
      </c>
      <c r="H132" s="20">
        <f t="shared" ref="H132:K132" si="32">H131/$G$118</f>
        <v>8.4956318733765901</v>
      </c>
      <c r="I132" s="20">
        <f t="shared" si="32"/>
        <v>9.2317783752046658</v>
      </c>
      <c r="J132" s="20">
        <f t="shared" si="32"/>
        <v>9.9841683127838508</v>
      </c>
      <c r="K132" s="20">
        <f t="shared" si="32"/>
        <v>11.544782267822216</v>
      </c>
      <c r="L132" s="569"/>
    </row>
    <row r="133" spans="2:12" ht="15.75">
      <c r="B133" s="593" t="s">
        <v>123</v>
      </c>
      <c r="C133" s="594"/>
      <c r="D133" s="594"/>
      <c r="E133" s="594"/>
      <c r="F133" s="595"/>
      <c r="G133" s="237">
        <f>G132/$G$119</f>
        <v>0.95005350000000011</v>
      </c>
      <c r="H133" s="237">
        <f t="shared" ref="H133:K133" si="33">H132/$G$119</f>
        <v>1.0431397419300006</v>
      </c>
      <c r="I133" s="237">
        <f t="shared" si="33"/>
        <v>1.1335278005682345</v>
      </c>
      <c r="J133" s="237">
        <f t="shared" si="33"/>
        <v>1.2259103163145462</v>
      </c>
      <c r="K133" s="237">
        <f t="shared" si="33"/>
        <v>1.4175309588488199</v>
      </c>
      <c r="L133" s="569"/>
    </row>
    <row r="134" spans="2:12" ht="9" customHeight="1">
      <c r="L134" s="569"/>
    </row>
    <row r="135" spans="2:12" ht="9" customHeight="1">
      <c r="L135" s="569"/>
    </row>
    <row r="136" spans="2:12" ht="7.5" customHeight="1">
      <c r="L136" s="569"/>
    </row>
    <row r="137" spans="2:12" ht="10.5" customHeight="1">
      <c r="L137" s="569"/>
    </row>
    <row r="138" spans="2:12">
      <c r="B138" s="662" t="s">
        <v>134</v>
      </c>
      <c r="C138" s="662"/>
      <c r="D138" s="662"/>
      <c r="E138" s="662"/>
      <c r="F138" s="662"/>
      <c r="G138" s="77">
        <f>G128</f>
        <v>2020</v>
      </c>
      <c r="H138" s="77">
        <f>H128</f>
        <v>2021</v>
      </c>
      <c r="I138" s="77">
        <f>I128</f>
        <v>2022</v>
      </c>
      <c r="J138" s="77">
        <f>J128</f>
        <v>2023</v>
      </c>
      <c r="K138" s="105">
        <f>K128</f>
        <v>2024</v>
      </c>
      <c r="L138" s="569"/>
    </row>
    <row r="139" spans="2:12">
      <c r="B139" s="591" t="s">
        <v>135</v>
      </c>
      <c r="C139" s="591"/>
      <c r="D139" s="591"/>
      <c r="E139" s="591"/>
      <c r="F139" s="591"/>
      <c r="G139" s="12">
        <f>'Analisis Financiero'!L54</f>
        <v>23204776.471717503</v>
      </c>
      <c r="H139" s="12">
        <f>'Analisis Financiero'!M54</f>
        <v>25478380.470416389</v>
      </c>
      <c r="I139" s="12">
        <f>'Analisis Financiero'!N54</f>
        <v>27686082.138177961</v>
      </c>
      <c r="J139" s="12">
        <f>'Analisis Financiero'!O54</f>
        <v>29942497.832439475</v>
      </c>
      <c r="K139" s="12">
        <f>'Analisis Financiero'!Q54</f>
        <v>34622775.498249568</v>
      </c>
      <c r="L139" s="569"/>
    </row>
    <row r="140" spans="2:12">
      <c r="B140" s="591" t="s">
        <v>137</v>
      </c>
      <c r="C140" s="591"/>
      <c r="D140" s="591"/>
      <c r="E140" s="591"/>
      <c r="F140" s="591"/>
      <c r="G140" s="8">
        <f>'Analisis Financiero'!L57+'Analisis Financiero'!L64+'Analisis Financiero'!L58</f>
        <v>10192052.341152001</v>
      </c>
      <c r="H140" s="8">
        <f>'Analisis Financiero'!M57+'Analisis Financiero'!M64+'Analisis Financiero'!M58</f>
        <v>11190669.629538076</v>
      </c>
      <c r="I140" s="8">
        <f>'Analisis Financiero'!N57+'Analisis Financiero'!N64+'Analisis Financiero'!N58</f>
        <v>12160341.15293755</v>
      </c>
      <c r="J140" s="8">
        <f>'Analisis Financiero'!O57+'Analisis Financiero'!O64+'Analisis Financiero'!O58</f>
        <v>13151408.956901962</v>
      </c>
      <c r="K140" s="8">
        <f>'Analisis Financiero'!Q57+'Analisis Financiero'!Q64+'Analisis Financiero'!Q58</f>
        <v>15207090.682567408</v>
      </c>
      <c r="L140" s="569"/>
    </row>
    <row r="141" spans="2:12">
      <c r="B141" s="591" t="s">
        <v>138</v>
      </c>
      <c r="C141" s="591"/>
      <c r="D141" s="591"/>
      <c r="E141" s="591"/>
      <c r="F141" s="591"/>
      <c r="G141" s="9">
        <f>G139-G140</f>
        <v>13012724.130565502</v>
      </c>
      <c r="H141" s="9">
        <f t="shared" ref="H141:K141" si="34">H139-H140</f>
        <v>14287710.840878313</v>
      </c>
      <c r="I141" s="9">
        <f t="shared" si="34"/>
        <v>15525740.985240411</v>
      </c>
      <c r="J141" s="9">
        <f t="shared" si="34"/>
        <v>16791088.875537515</v>
      </c>
      <c r="K141" s="9">
        <f t="shared" si="34"/>
        <v>19415684.815682158</v>
      </c>
      <c r="L141" s="569"/>
    </row>
    <row r="142" spans="2:12">
      <c r="B142" s="591" t="s">
        <v>133</v>
      </c>
      <c r="C142" s="591"/>
      <c r="D142" s="591"/>
      <c r="E142" s="591"/>
      <c r="F142" s="591"/>
      <c r="G142" s="20">
        <f>G141/$G$118</f>
        <v>8.6751494203770019</v>
      </c>
      <c r="H142" s="20">
        <f t="shared" ref="H142:K142" si="35">H141/$G$118</f>
        <v>9.5251405605855428</v>
      </c>
      <c r="I142" s="20">
        <f t="shared" si="35"/>
        <v>10.350493990160274</v>
      </c>
      <c r="J142" s="20">
        <f t="shared" si="35"/>
        <v>11.194059250358343</v>
      </c>
      <c r="K142" s="20">
        <f t="shared" si="35"/>
        <v>12.943789877121439</v>
      </c>
      <c r="L142" s="569"/>
    </row>
    <row r="143" spans="2:12" ht="16.5" thickBot="1">
      <c r="B143" s="593" t="s">
        <v>123</v>
      </c>
      <c r="C143" s="594"/>
      <c r="D143" s="594"/>
      <c r="E143" s="594"/>
      <c r="F143" s="595"/>
      <c r="G143" s="237">
        <f>G142/$G$119</f>
        <v>1.0651818796357024</v>
      </c>
      <c r="H143" s="237">
        <f t="shared" ref="H143:K143" si="36">H142/$G$119</f>
        <v>1.1695484002024088</v>
      </c>
      <c r="I143" s="237">
        <f t="shared" si="36"/>
        <v>1.2708897690799468</v>
      </c>
      <c r="J143" s="237">
        <f t="shared" si="36"/>
        <v>1.3744672852599633</v>
      </c>
      <c r="K143" s="237">
        <f t="shared" si="36"/>
        <v>1.5893086980768822</v>
      </c>
      <c r="L143" s="570"/>
    </row>
    <row r="144" spans="2:12" ht="9" customHeight="1"/>
    <row r="145" spans="2:13" ht="9" customHeight="1"/>
    <row r="146" spans="2:13" ht="9.75" customHeight="1"/>
    <row r="147" spans="2:13" ht="9.75" customHeight="1"/>
    <row r="149" spans="2:13" ht="15.75" thickBot="1"/>
    <row r="150" spans="2:13">
      <c r="B150" s="577" t="s">
        <v>139</v>
      </c>
      <c r="C150" s="578"/>
      <c r="D150" s="578"/>
      <c r="E150" s="578"/>
      <c r="F150" s="578"/>
      <c r="G150" s="578"/>
      <c r="H150" s="578"/>
      <c r="I150" s="578"/>
      <c r="J150" s="578"/>
      <c r="K150" s="579"/>
    </row>
    <row r="151" spans="2:13" ht="15.75" thickBot="1">
      <c r="B151" s="580"/>
      <c r="C151" s="581"/>
      <c r="D151" s="581"/>
      <c r="E151" s="581"/>
      <c r="F151" s="581"/>
      <c r="G151" s="581"/>
      <c r="H151" s="581"/>
      <c r="I151" s="581"/>
      <c r="J151" s="581"/>
      <c r="K151" s="582"/>
    </row>
    <row r="152" spans="2:13" ht="15.75" thickBot="1"/>
    <row r="153" spans="2:13" ht="15" customHeight="1">
      <c r="B153" s="662" t="s">
        <v>117</v>
      </c>
      <c r="C153" s="662"/>
      <c r="D153" s="662"/>
      <c r="E153" s="662"/>
      <c r="F153" s="662"/>
      <c r="G153" s="77">
        <f>G138</f>
        <v>2020</v>
      </c>
      <c r="H153" s="77">
        <f>H138</f>
        <v>2021</v>
      </c>
      <c r="I153" s="77">
        <f>I138</f>
        <v>2022</v>
      </c>
      <c r="J153" s="77">
        <f>J138</f>
        <v>2023</v>
      </c>
      <c r="K153" s="105">
        <f>K138</f>
        <v>2024</v>
      </c>
      <c r="L153" s="105">
        <v>2025</v>
      </c>
      <c r="M153" s="685" t="s">
        <v>154</v>
      </c>
    </row>
    <row r="154" spans="2:13">
      <c r="B154" s="591" t="s">
        <v>80</v>
      </c>
      <c r="C154" s="591"/>
      <c r="D154" s="591"/>
      <c r="E154" s="591"/>
      <c r="F154" s="591"/>
      <c r="G154" s="238">
        <f>G58</f>
        <v>4416961.6868120795</v>
      </c>
      <c r="H154" s="238">
        <f t="shared" ref="H154:K154" si="37">H58</f>
        <v>4849735.592885931</v>
      </c>
      <c r="I154" s="238">
        <f t="shared" si="37"/>
        <v>5269965.1820094958</v>
      </c>
      <c r="J154" s="238">
        <f t="shared" si="37"/>
        <v>5699467.3443432767</v>
      </c>
      <c r="K154" s="238">
        <f t="shared" si="37"/>
        <v>6140492.1274485569</v>
      </c>
      <c r="L154" s="238">
        <f t="shared" ref="L154" si="38">L58</f>
        <v>6590344.5807054406</v>
      </c>
      <c r="M154" s="686"/>
    </row>
    <row r="155" spans="2:13">
      <c r="B155" s="591" t="s">
        <v>83</v>
      </c>
      <c r="C155" s="591"/>
      <c r="D155" s="591"/>
      <c r="E155" s="591"/>
      <c r="F155" s="591"/>
      <c r="G155" s="239">
        <f>G63</f>
        <v>4131101.8</v>
      </c>
      <c r="H155" s="239">
        <f t="shared" ref="H155:K155" si="39">H63</f>
        <v>4284745.16</v>
      </c>
      <c r="I155" s="239">
        <f t="shared" si="39"/>
        <v>4372413.9920000006</v>
      </c>
      <c r="J155" s="239">
        <f t="shared" si="39"/>
        <v>4396057.1903999997</v>
      </c>
      <c r="K155" s="239">
        <f t="shared" si="39"/>
        <v>4376004.8284799997</v>
      </c>
      <c r="L155" s="239">
        <f t="shared" ref="L155" si="40">L63</f>
        <v>4312064.594176</v>
      </c>
      <c r="M155" s="686"/>
    </row>
    <row r="156" spans="2:13">
      <c r="B156" s="591" t="s">
        <v>140</v>
      </c>
      <c r="C156" s="591"/>
      <c r="D156" s="591"/>
      <c r="E156" s="591"/>
      <c r="F156" s="591"/>
      <c r="G156" s="239">
        <f>G64</f>
        <v>68698.8</v>
      </c>
      <c r="H156" s="239">
        <f t="shared" ref="H156:K156" si="41">H64</f>
        <v>72056.36</v>
      </c>
      <c r="I156" s="239">
        <f t="shared" si="41"/>
        <v>74590.631999999998</v>
      </c>
      <c r="J156" s="239">
        <f t="shared" si="41"/>
        <v>76349.758399999992</v>
      </c>
      <c r="K156" s="239">
        <f t="shared" si="41"/>
        <v>76349.758399999992</v>
      </c>
      <c r="L156" s="239">
        <f t="shared" ref="L156" si="42">L64</f>
        <v>76195.310079999996</v>
      </c>
      <c r="M156" s="686"/>
    </row>
    <row r="157" spans="2:13">
      <c r="B157" s="560" t="s">
        <v>30</v>
      </c>
      <c r="C157" s="560"/>
      <c r="D157" s="560"/>
      <c r="E157" s="560"/>
      <c r="F157" s="560"/>
      <c r="G157" s="238">
        <f>G154+G155+G156</f>
        <v>8616762.2868120801</v>
      </c>
      <c r="H157" s="238">
        <f t="shared" ref="H157:K157" si="43">H154+H155+H156</f>
        <v>9206537.1128859296</v>
      </c>
      <c r="I157" s="238">
        <f t="shared" si="43"/>
        <v>9716969.8060094956</v>
      </c>
      <c r="J157" s="238">
        <f t="shared" si="43"/>
        <v>10171874.293143276</v>
      </c>
      <c r="K157" s="238">
        <f t="shared" si="43"/>
        <v>10592846.714328557</v>
      </c>
      <c r="L157" s="238">
        <f t="shared" ref="L157" si="44">L154+L155+L156</f>
        <v>10978604.484961439</v>
      </c>
      <c r="M157" s="686"/>
    </row>
    <row r="158" spans="2:13">
      <c r="L158" s="328"/>
      <c r="M158" s="686"/>
    </row>
    <row r="159" spans="2:13">
      <c r="B159" s="662" t="s">
        <v>117</v>
      </c>
      <c r="C159" s="662"/>
      <c r="D159" s="662"/>
      <c r="E159" s="662"/>
      <c r="F159" s="662"/>
      <c r="G159" s="77">
        <f t="shared" ref="G159:L159" si="45">G153</f>
        <v>2020</v>
      </c>
      <c r="H159" s="77">
        <f t="shared" si="45"/>
        <v>2021</v>
      </c>
      <c r="I159" s="77">
        <f t="shared" si="45"/>
        <v>2022</v>
      </c>
      <c r="J159" s="77">
        <f t="shared" si="45"/>
        <v>2023</v>
      </c>
      <c r="K159" s="105">
        <f t="shared" si="45"/>
        <v>2024</v>
      </c>
      <c r="L159" s="105">
        <f t="shared" si="45"/>
        <v>2025</v>
      </c>
      <c r="M159" s="686"/>
    </row>
    <row r="160" spans="2:13">
      <c r="B160" s="591" t="s">
        <v>109</v>
      </c>
      <c r="C160" s="591"/>
      <c r="D160" s="591"/>
      <c r="E160" s="591"/>
      <c r="F160" s="591"/>
      <c r="G160" s="23">
        <f>G97</f>
        <v>0.1488010841610381</v>
      </c>
      <c r="H160" s="23">
        <f t="shared" ref="H160:K160" si="46">H97</f>
        <v>0.147627450855363</v>
      </c>
      <c r="I160" s="23">
        <f t="shared" si="46"/>
        <v>0.14674967094549349</v>
      </c>
      <c r="J160" s="23">
        <f t="shared" si="46"/>
        <v>0.14510609530367144</v>
      </c>
      <c r="K160" s="23">
        <f t="shared" si="46"/>
        <v>0.14276029573395352</v>
      </c>
      <c r="L160" s="332">
        <f t="shared" ref="L160" si="47">L97</f>
        <v>0.14276029573395352</v>
      </c>
      <c r="M160" s="686"/>
    </row>
    <row r="161" spans="2:13">
      <c r="B161" s="592" t="s">
        <v>110</v>
      </c>
      <c r="C161" s="592"/>
      <c r="D161" s="592"/>
      <c r="E161" s="592"/>
      <c r="F161" s="592"/>
      <c r="G161" s="23">
        <f>G98</f>
        <v>0.1488010841610381</v>
      </c>
      <c r="H161" s="23">
        <f t="shared" ref="H161:K161" si="48">H98</f>
        <v>0.31839565975560946</v>
      </c>
      <c r="I161" s="23">
        <f t="shared" si="48"/>
        <v>0.51186978900071178</v>
      </c>
      <c r="J161" s="23">
        <f t="shared" si="48"/>
        <v>0.73125131069019056</v>
      </c>
      <c r="K161" s="23">
        <f t="shared" si="48"/>
        <v>0.97840525979411685</v>
      </c>
      <c r="L161" s="332">
        <f t="shared" ref="L161" si="49">L98</f>
        <v>1.2608429797639342</v>
      </c>
      <c r="M161" s="686"/>
    </row>
    <row r="162" spans="2:13">
      <c r="B162" s="275"/>
      <c r="C162" s="279"/>
      <c r="D162" s="279"/>
      <c r="E162" s="279"/>
      <c r="F162" s="279"/>
      <c r="G162" s="279"/>
      <c r="H162" s="279"/>
      <c r="I162" s="279"/>
      <c r="J162" s="279"/>
      <c r="K162" s="280"/>
      <c r="L162" s="280"/>
      <c r="M162" s="687"/>
    </row>
    <row r="163" spans="2:13">
      <c r="B163" s="683" t="s">
        <v>142</v>
      </c>
      <c r="C163" s="683"/>
      <c r="D163" s="683"/>
      <c r="E163" s="683"/>
      <c r="F163" s="683"/>
      <c r="G163" s="277">
        <f>G157</f>
        <v>8616762.2868120801</v>
      </c>
      <c r="H163" s="277">
        <f t="shared" ref="H163:K163" si="50">H157</f>
        <v>9206537.1128859296</v>
      </c>
      <c r="I163" s="277">
        <f t="shared" si="50"/>
        <v>9716969.8060094956</v>
      </c>
      <c r="J163" s="277">
        <f t="shared" si="50"/>
        <v>10171874.293143276</v>
      </c>
      <c r="K163" s="277">
        <f t="shared" si="50"/>
        <v>10592846.714328557</v>
      </c>
      <c r="L163" s="277">
        <f t="shared" ref="L163" si="51">L157</f>
        <v>10978604.484961439</v>
      </c>
      <c r="M163" s="686"/>
    </row>
    <row r="164" spans="2:13">
      <c r="B164" s="275"/>
      <c r="C164" s="279"/>
      <c r="D164" s="279"/>
      <c r="E164" s="279"/>
      <c r="F164" s="279"/>
      <c r="G164" s="279"/>
      <c r="H164" s="279"/>
      <c r="I164" s="279"/>
      <c r="J164" s="279"/>
      <c r="K164" s="280"/>
      <c r="L164" s="280"/>
      <c r="M164" s="687"/>
    </row>
    <row r="165" spans="2:13" ht="15.75">
      <c r="B165" s="684" t="s">
        <v>113</v>
      </c>
      <c r="C165" s="684"/>
      <c r="D165" s="684"/>
      <c r="E165" s="684"/>
      <c r="F165" s="684"/>
      <c r="G165" s="285">
        <f>G163/(1+G161)</f>
        <v>7500656.4718772396</v>
      </c>
      <c r="H165" s="285">
        <f t="shared" ref="H165:K165" si="52">H163/(1+H161)</f>
        <v>6983136.6970614437</v>
      </c>
      <c r="I165" s="285">
        <f t="shared" si="52"/>
        <v>6427120.8252875013</v>
      </c>
      <c r="J165" s="285">
        <f t="shared" si="52"/>
        <v>5875446.4070777213</v>
      </c>
      <c r="K165" s="285">
        <f t="shared" si="52"/>
        <v>5354235.0142310597</v>
      </c>
      <c r="L165" s="285">
        <f t="shared" ref="L165" si="53">L163/(1+L161)</f>
        <v>4855978.3157111462</v>
      </c>
      <c r="M165" s="686"/>
    </row>
    <row r="166" spans="2:13">
      <c r="L166" s="328"/>
      <c r="M166" s="686"/>
    </row>
    <row r="167" spans="2:13">
      <c r="B167" s="591" t="s">
        <v>114</v>
      </c>
      <c r="C167" s="591"/>
      <c r="D167" s="591"/>
      <c r="E167" s="591"/>
      <c r="F167" s="591"/>
      <c r="G167" s="101">
        <f>SUM(G165:L165)</f>
        <v>36996573.731246114</v>
      </c>
      <c r="L167" s="328"/>
      <c r="M167" s="686"/>
    </row>
    <row r="168" spans="2:13">
      <c r="L168" s="328"/>
      <c r="M168" s="686"/>
    </row>
    <row r="169" spans="2:13">
      <c r="B169" s="591" t="s">
        <v>118</v>
      </c>
      <c r="C169" s="591"/>
      <c r="D169" s="591"/>
      <c r="E169" s="591"/>
      <c r="F169" s="591"/>
      <c r="G169" s="95">
        <f>G167</f>
        <v>36996573.731246114</v>
      </c>
      <c r="L169" s="328"/>
      <c r="M169" s="686"/>
    </row>
    <row r="170" spans="2:13">
      <c r="B170" s="591" t="s">
        <v>119</v>
      </c>
      <c r="C170" s="591"/>
      <c r="D170" s="591"/>
      <c r="E170" s="591"/>
      <c r="F170" s="591"/>
      <c r="G170" s="94">
        <f>G111</f>
        <v>10258271</v>
      </c>
      <c r="L170" s="328"/>
      <c r="M170" s="686"/>
    </row>
    <row r="171" spans="2:13">
      <c r="B171" s="591" t="s">
        <v>120</v>
      </c>
      <c r="C171" s="591"/>
      <c r="D171" s="591"/>
      <c r="E171" s="591"/>
      <c r="F171" s="591"/>
      <c r="G171" s="94">
        <f>G112</f>
        <v>21326398</v>
      </c>
      <c r="L171" s="328"/>
      <c r="M171" s="686"/>
    </row>
    <row r="172" spans="2:13">
      <c r="B172" s="591" t="s">
        <v>143</v>
      </c>
      <c r="C172" s="591"/>
      <c r="D172" s="591"/>
      <c r="E172" s="591"/>
      <c r="F172" s="591"/>
      <c r="G172" s="94">
        <f>G113</f>
        <v>1950000</v>
      </c>
      <c r="L172" s="328"/>
      <c r="M172" s="686"/>
    </row>
    <row r="173" spans="2:13">
      <c r="B173" s="560" t="s">
        <v>121</v>
      </c>
      <c r="C173" s="560"/>
      <c r="D173" s="560"/>
      <c r="E173" s="560"/>
      <c r="F173" s="560"/>
      <c r="G173" s="236">
        <f>G169-G170+G171-G172</f>
        <v>46114700.731246114</v>
      </c>
      <c r="H173" s="97"/>
      <c r="L173" s="328"/>
      <c r="M173" s="686"/>
    </row>
    <row r="174" spans="2:13">
      <c r="G174" s="96"/>
      <c r="L174" s="328"/>
      <c r="M174" s="686"/>
    </row>
    <row r="175" spans="2:13">
      <c r="B175" s="591" t="s">
        <v>122</v>
      </c>
      <c r="C175" s="591"/>
      <c r="D175" s="591"/>
      <c r="E175" s="591"/>
      <c r="F175" s="591"/>
      <c r="G175" s="94">
        <f>+G116</f>
        <v>12216434</v>
      </c>
      <c r="L175" s="328"/>
      <c r="M175" s="686"/>
    </row>
    <row r="176" spans="2:13">
      <c r="B176" s="52"/>
      <c r="C176" s="52"/>
      <c r="D176" s="52"/>
      <c r="E176" s="52"/>
      <c r="F176" s="52"/>
      <c r="G176" s="52"/>
      <c r="L176" s="328"/>
      <c r="M176" s="686"/>
    </row>
    <row r="177" spans="2:21">
      <c r="B177" s="591" t="s">
        <v>125</v>
      </c>
      <c r="C177" s="591"/>
      <c r="D177" s="591"/>
      <c r="E177" s="591"/>
      <c r="F177" s="591"/>
      <c r="G177" s="8">
        <f>+G118</f>
        <v>1500000</v>
      </c>
      <c r="H177" s="328"/>
      <c r="L177" s="328"/>
      <c r="M177" s="686"/>
    </row>
    <row r="178" spans="2:21">
      <c r="B178" s="591" t="s">
        <v>124</v>
      </c>
      <c r="C178" s="591"/>
      <c r="D178" s="591"/>
      <c r="E178" s="591"/>
      <c r="F178" s="591"/>
      <c r="G178" s="327">
        <f>G175/G177</f>
        <v>8.144289333333333</v>
      </c>
      <c r="L178" s="328"/>
      <c r="M178" s="686"/>
    </row>
    <row r="179" spans="2:21">
      <c r="B179" s="591" t="s">
        <v>126</v>
      </c>
      <c r="C179" s="591"/>
      <c r="D179" s="591"/>
      <c r="E179" s="591"/>
      <c r="F179" s="591"/>
      <c r="G179" s="100">
        <f>G173/G177</f>
        <v>30.743133820830742</v>
      </c>
      <c r="L179" s="328"/>
      <c r="M179" s="686"/>
    </row>
    <row r="180" spans="2:21" ht="16.5" thickBot="1">
      <c r="B180" s="672" t="s">
        <v>123</v>
      </c>
      <c r="C180" s="672"/>
      <c r="D180" s="672"/>
      <c r="E180" s="672"/>
      <c r="F180" s="672"/>
      <c r="G180" s="237">
        <f>+G179/G178</f>
        <v>3.7748086496637328</v>
      </c>
      <c r="H180" s="102"/>
      <c r="L180" s="328"/>
      <c r="M180" s="688"/>
    </row>
    <row r="184" spans="2:21" ht="15.75" thickBot="1"/>
    <row r="185" spans="2:21" ht="15" customHeight="1">
      <c r="B185" s="577" t="s">
        <v>144</v>
      </c>
      <c r="C185" s="578"/>
      <c r="D185" s="578"/>
      <c r="E185" s="578"/>
      <c r="F185" s="578"/>
      <c r="G185" s="578"/>
      <c r="H185" s="578"/>
      <c r="I185" s="578"/>
      <c r="J185" s="578"/>
      <c r="K185" s="578"/>
      <c r="L185" s="579"/>
    </row>
    <row r="186" spans="2:21" ht="15" customHeight="1" thickBot="1">
      <c r="B186" s="580"/>
      <c r="C186" s="581"/>
      <c r="D186" s="581"/>
      <c r="E186" s="581"/>
      <c r="F186" s="581"/>
      <c r="G186" s="581"/>
      <c r="H186" s="581"/>
      <c r="I186" s="581"/>
      <c r="J186" s="581"/>
      <c r="K186" s="581"/>
      <c r="L186" s="582"/>
    </row>
    <row r="187" spans="2:21" ht="45.75" thickBot="1">
      <c r="B187" s="673" t="s">
        <v>147</v>
      </c>
      <c r="C187" s="674"/>
      <c r="D187" s="674"/>
      <c r="E187" s="674"/>
      <c r="F187" s="674"/>
      <c r="G187" s="246" t="s">
        <v>146</v>
      </c>
      <c r="H187" s="246" t="s">
        <v>148</v>
      </c>
      <c r="I187" s="246" t="s">
        <v>149</v>
      </c>
      <c r="J187" s="247" t="s">
        <v>123</v>
      </c>
      <c r="K187" s="246" t="s">
        <v>150</v>
      </c>
      <c r="L187" s="248" t="s">
        <v>151</v>
      </c>
      <c r="P187" s="240" t="s">
        <v>230</v>
      </c>
      <c r="Q187" s="240" t="s">
        <v>231</v>
      </c>
      <c r="R187" s="240" t="s">
        <v>147</v>
      </c>
    </row>
    <row r="188" spans="2:21" ht="15.75" thickBot="1">
      <c r="B188" s="556" t="s">
        <v>153</v>
      </c>
      <c r="C188" s="557"/>
      <c r="D188" s="557"/>
      <c r="E188" s="557"/>
      <c r="F188" s="558"/>
      <c r="G188" s="249">
        <f>K131</f>
        <v>17317173.401733324</v>
      </c>
      <c r="H188" s="250">
        <f>+$G$175</f>
        <v>12216434</v>
      </c>
      <c r="I188" s="250">
        <f>G188-H188</f>
        <v>5100739.4017333239</v>
      </c>
      <c r="J188" s="251">
        <f>+G188/H188</f>
        <v>1.4175309588488199</v>
      </c>
      <c r="K188" s="251">
        <f>$G$30</f>
        <v>0.67</v>
      </c>
      <c r="L188" s="252">
        <f>+J188-K188</f>
        <v>0.74753095884881982</v>
      </c>
      <c r="P188" s="63" t="s">
        <v>229</v>
      </c>
      <c r="Q188" s="103">
        <f>+AVERAGE(G190:G191)</f>
        <v>41899621.247407071</v>
      </c>
      <c r="R188" s="4" t="s">
        <v>234</v>
      </c>
    </row>
    <row r="189" spans="2:21" ht="16.5" thickBot="1">
      <c r="B189" s="559" t="s">
        <v>152</v>
      </c>
      <c r="C189" s="560"/>
      <c r="D189" s="560"/>
      <c r="E189" s="560"/>
      <c r="F189" s="561"/>
      <c r="G189" s="253">
        <f>K141</f>
        <v>19415684.815682158</v>
      </c>
      <c r="H189" s="12">
        <f t="shared" ref="H189:H191" si="54">+$G$175</f>
        <v>12216434</v>
      </c>
      <c r="I189" s="12">
        <f t="shared" ref="I189:I191" si="55">G189-H189</f>
        <v>7199250.8156821579</v>
      </c>
      <c r="J189" s="104">
        <f t="shared" ref="J189:J191" si="56">+G189/H189</f>
        <v>1.5893086980768822</v>
      </c>
      <c r="K189" s="104">
        <f t="shared" ref="K189:K191" si="57">$G$30</f>
        <v>0.67</v>
      </c>
      <c r="L189" s="254">
        <f t="shared" ref="L189:L191" si="58">+J189-K189</f>
        <v>0.9193086980768822</v>
      </c>
      <c r="P189" s="63" t="s">
        <v>227</v>
      </c>
      <c r="Q189" s="12">
        <f>+S189</f>
        <v>30133025.178057406</v>
      </c>
      <c r="R189" s="352" t="s">
        <v>233</v>
      </c>
      <c r="S189" s="679">
        <f>+AVERAGE(G188:G191)</f>
        <v>30133025.178057406</v>
      </c>
      <c r="T189" s="680"/>
      <c r="U189" s="241">
        <f>+S189/G175</f>
        <v>2.4665974684639891</v>
      </c>
    </row>
    <row r="190" spans="2:21" ht="15.75" thickBot="1">
      <c r="B190" s="559" t="s">
        <v>30</v>
      </c>
      <c r="C190" s="560"/>
      <c r="D190" s="560"/>
      <c r="E190" s="560"/>
      <c r="F190" s="561"/>
      <c r="G190" s="255">
        <f>G173</f>
        <v>46114700.731246114</v>
      </c>
      <c r="H190" s="12">
        <f t="shared" si="54"/>
        <v>12216434</v>
      </c>
      <c r="I190" s="12">
        <f t="shared" si="55"/>
        <v>33898266.731246114</v>
      </c>
      <c r="J190" s="104">
        <f t="shared" si="56"/>
        <v>3.7748086496637328</v>
      </c>
      <c r="K190" s="104">
        <f t="shared" si="57"/>
        <v>0.67</v>
      </c>
      <c r="L190" s="254">
        <f t="shared" si="58"/>
        <v>3.1048086496637328</v>
      </c>
      <c r="P190" s="63" t="s">
        <v>228</v>
      </c>
      <c r="Q190" s="12">
        <f>+AVERAGE(G188:G189)</f>
        <v>18366429.108707741</v>
      </c>
      <c r="R190" s="352" t="s">
        <v>232</v>
      </c>
      <c r="S190" s="681"/>
      <c r="T190" s="682"/>
      <c r="U190" s="242" t="s">
        <v>193</v>
      </c>
    </row>
    <row r="191" spans="2:21" ht="15.75" thickBot="1">
      <c r="B191" s="562" t="s">
        <v>145</v>
      </c>
      <c r="C191" s="563"/>
      <c r="D191" s="563"/>
      <c r="E191" s="563"/>
      <c r="F191" s="564"/>
      <c r="G191" s="256">
        <f>G114</f>
        <v>37684541.763568029</v>
      </c>
      <c r="H191" s="257">
        <f t="shared" si="54"/>
        <v>12216434</v>
      </c>
      <c r="I191" s="257">
        <f t="shared" si="55"/>
        <v>25468107.763568029</v>
      </c>
      <c r="J191" s="258">
        <f t="shared" si="56"/>
        <v>3.0847415672665224</v>
      </c>
      <c r="K191" s="258">
        <f t="shared" si="57"/>
        <v>0.67</v>
      </c>
      <c r="L191" s="259">
        <f t="shared" si="58"/>
        <v>2.4147415672665224</v>
      </c>
    </row>
    <row r="192" spans="2:21">
      <c r="I192" s="96"/>
    </row>
    <row r="193" spans="2:14" ht="15.75" thickBot="1">
      <c r="K193" s="112"/>
      <c r="N193" s="102"/>
    </row>
    <row r="194" spans="2:14">
      <c r="B194" s="556" t="s">
        <v>29</v>
      </c>
      <c r="C194" s="557"/>
      <c r="D194" s="557"/>
      <c r="E194" s="557"/>
      <c r="F194" s="558"/>
      <c r="G194" s="243">
        <f>S189/'Analisis Financiero'!K85</f>
        <v>0.63652664932798375</v>
      </c>
    </row>
    <row r="195" spans="2:14">
      <c r="B195" s="559" t="s">
        <v>259</v>
      </c>
      <c r="C195" s="560"/>
      <c r="D195" s="560"/>
      <c r="E195" s="560"/>
      <c r="F195" s="561"/>
      <c r="G195" s="244">
        <f>+S189/'Analisis Financiero'!K98</f>
        <v>15.753993222258218</v>
      </c>
    </row>
    <row r="196" spans="2:14" ht="15.75" thickBot="1">
      <c r="B196" s="562" t="s">
        <v>30</v>
      </c>
      <c r="C196" s="563"/>
      <c r="D196" s="563"/>
      <c r="E196" s="563"/>
      <c r="F196" s="564"/>
      <c r="G196" s="245">
        <f>+S189/'Analisis Financiero'!K121</f>
        <v>3.3933502842737786</v>
      </c>
    </row>
  </sheetData>
  <mergeCells count="136">
    <mergeCell ref="M96:M121"/>
    <mergeCell ref="B100:F100"/>
    <mergeCell ref="S189:T190"/>
    <mergeCell ref="B169:F169"/>
    <mergeCell ref="B153:F153"/>
    <mergeCell ref="B154:F154"/>
    <mergeCell ref="B157:F157"/>
    <mergeCell ref="B159:F159"/>
    <mergeCell ref="B160:F160"/>
    <mergeCell ref="B161:F161"/>
    <mergeCell ref="B155:F155"/>
    <mergeCell ref="B156:F156"/>
    <mergeCell ref="B101:F101"/>
    <mergeCell ref="B179:F179"/>
    <mergeCell ref="B163:F163"/>
    <mergeCell ref="B165:F165"/>
    <mergeCell ref="B167:F167"/>
    <mergeCell ref="B142:F142"/>
    <mergeCell ref="B143:F143"/>
    <mergeCell ref="B150:K151"/>
    <mergeCell ref="B170:F170"/>
    <mergeCell ref="B171:F171"/>
    <mergeCell ref="B172:F172"/>
    <mergeCell ref="M153:M180"/>
    <mergeCell ref="B191:F191"/>
    <mergeCell ref="B185:L186"/>
    <mergeCell ref="B190:F190"/>
    <mergeCell ref="B187:F187"/>
    <mergeCell ref="B188:F188"/>
    <mergeCell ref="B189:F189"/>
    <mergeCell ref="B180:F180"/>
    <mergeCell ref="B173:F173"/>
    <mergeCell ref="B175:F175"/>
    <mergeCell ref="B177:F177"/>
    <mergeCell ref="B178:F178"/>
    <mergeCell ref="G84:J84"/>
    <mergeCell ref="B96:F96"/>
    <mergeCell ref="B106:F106"/>
    <mergeCell ref="B104:F104"/>
    <mergeCell ref="B138:F138"/>
    <mergeCell ref="B139:F139"/>
    <mergeCell ref="B140:F140"/>
    <mergeCell ref="B141:F141"/>
    <mergeCell ref="B125:K126"/>
    <mergeCell ref="B128:F128"/>
    <mergeCell ref="G93:J93"/>
    <mergeCell ref="G90:J90"/>
    <mergeCell ref="G91:J91"/>
    <mergeCell ref="G92:J92"/>
    <mergeCell ref="B110:F110"/>
    <mergeCell ref="B111:F111"/>
    <mergeCell ref="B112:F112"/>
    <mergeCell ref="B113:F113"/>
    <mergeCell ref="B114:F114"/>
    <mergeCell ref="B120:F120"/>
    <mergeCell ref="B119:F119"/>
    <mergeCell ref="B121:F121"/>
    <mergeCell ref="B118:F118"/>
    <mergeCell ref="B107:F107"/>
    <mergeCell ref="B15:F15"/>
    <mergeCell ref="B42:F42"/>
    <mergeCell ref="B44:F44"/>
    <mergeCell ref="B46:F46"/>
    <mergeCell ref="C66:F66"/>
    <mergeCell ref="B47:F47"/>
    <mergeCell ref="B49:F49"/>
    <mergeCell ref="C54:F54"/>
    <mergeCell ref="C60:F60"/>
    <mergeCell ref="C55:F55"/>
    <mergeCell ref="C70:F70"/>
    <mergeCell ref="C72:F72"/>
    <mergeCell ref="B30:F30"/>
    <mergeCell ref="B33:F33"/>
    <mergeCell ref="B34:F34"/>
    <mergeCell ref="B35:F35"/>
    <mergeCell ref="B37:F37"/>
    <mergeCell ref="B40:F40"/>
    <mergeCell ref="B41:F41"/>
    <mergeCell ref="B51:K52"/>
    <mergeCell ref="C61:F61"/>
    <mergeCell ref="C63:F63"/>
    <mergeCell ref="C64:F64"/>
    <mergeCell ref="C65:F65"/>
    <mergeCell ref="C56:F56"/>
    <mergeCell ref="C57:F57"/>
    <mergeCell ref="C58:F58"/>
    <mergeCell ref="C68:F68"/>
    <mergeCell ref="C69:F69"/>
    <mergeCell ref="B1:R2"/>
    <mergeCell ref="B3:R3"/>
    <mergeCell ref="B4:R4"/>
    <mergeCell ref="B5:R5"/>
    <mergeCell ref="B6:R6"/>
    <mergeCell ref="J8:O8"/>
    <mergeCell ref="B27:F27"/>
    <mergeCell ref="B20:F20"/>
    <mergeCell ref="B21:F21"/>
    <mergeCell ref="B22:F22"/>
    <mergeCell ref="B24:F24"/>
    <mergeCell ref="B25:F25"/>
    <mergeCell ref="H10:H15"/>
    <mergeCell ref="H17:H18"/>
    <mergeCell ref="H20:H25"/>
    <mergeCell ref="B18:G18"/>
    <mergeCell ref="B17:F17"/>
    <mergeCell ref="B10:F10"/>
    <mergeCell ref="B9:F9"/>
    <mergeCell ref="B11:F11"/>
    <mergeCell ref="B12:F12"/>
    <mergeCell ref="B7:G7"/>
    <mergeCell ref="B8:G8"/>
    <mergeCell ref="B14:F14"/>
    <mergeCell ref="B194:F194"/>
    <mergeCell ref="B195:F195"/>
    <mergeCell ref="B196:F196"/>
    <mergeCell ref="B74:E74"/>
    <mergeCell ref="L128:L143"/>
    <mergeCell ref="L85:M87"/>
    <mergeCell ref="B75:K76"/>
    <mergeCell ref="G80:J80"/>
    <mergeCell ref="G81:J81"/>
    <mergeCell ref="L90:M93"/>
    <mergeCell ref="B97:F97"/>
    <mergeCell ref="B98:F98"/>
    <mergeCell ref="B133:F133"/>
    <mergeCell ref="B129:F129"/>
    <mergeCell ref="B130:F130"/>
    <mergeCell ref="B131:F131"/>
    <mergeCell ref="B116:F116"/>
    <mergeCell ref="B132:F132"/>
    <mergeCell ref="G87:J87"/>
    <mergeCell ref="G85:J85"/>
    <mergeCell ref="G86:J86"/>
    <mergeCell ref="G89:J89"/>
    <mergeCell ref="B108:F108"/>
    <mergeCell ref="B103:F10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FF6600"/>
  </sheetPr>
  <dimension ref="A1:R38"/>
  <sheetViews>
    <sheetView zoomScale="80" zoomScaleNormal="80" workbookViewId="0">
      <selection activeCell="A6" sqref="A6:R6"/>
    </sheetView>
  </sheetViews>
  <sheetFormatPr baseColWidth="10" defaultRowHeight="15"/>
  <cols>
    <col min="1" max="4" width="11.42578125" style="1"/>
    <col min="5" max="5" width="14.7109375" style="1" customWidth="1"/>
    <col min="6" max="6" width="14.85546875" style="1" customWidth="1"/>
    <col min="7" max="7" width="16" style="2" customWidth="1"/>
    <col min="8" max="8" width="14.85546875" style="1" customWidth="1"/>
    <col min="9" max="9" width="14.5703125" style="1" customWidth="1"/>
    <col min="10" max="10" width="14.5703125" style="328" customWidth="1"/>
    <col min="11" max="11" width="12.28515625" style="1" bestFit="1" customWidth="1"/>
    <col min="12" max="16384" width="11.42578125" style="1"/>
  </cols>
  <sheetData>
    <row r="1" spans="1:18">
      <c r="A1" s="577" t="s">
        <v>156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9"/>
    </row>
    <row r="2" spans="1:18" ht="15.75" thickBot="1">
      <c r="A2" s="580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2"/>
    </row>
    <row r="3" spans="1:18" ht="23.25">
      <c r="A3" s="469" t="s">
        <v>268</v>
      </c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606"/>
    </row>
    <row r="4" spans="1:18">
      <c r="A4" s="459" t="s">
        <v>41</v>
      </c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90"/>
    </row>
    <row r="5" spans="1:18">
      <c r="A5" s="459" t="s">
        <v>310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90"/>
    </row>
    <row r="6" spans="1:18" ht="15.75" thickBot="1">
      <c r="A6" s="461" t="s">
        <v>2</v>
      </c>
      <c r="B6" s="462"/>
      <c r="C6" s="462"/>
      <c r="D6" s="462"/>
      <c r="E6" s="462"/>
      <c r="F6" s="462"/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521"/>
    </row>
    <row r="7" spans="1:18" ht="15" customHeight="1">
      <c r="A7" s="695" t="s">
        <v>160</v>
      </c>
      <c r="B7" s="696"/>
      <c r="C7" s="696"/>
      <c r="D7" s="696"/>
      <c r="E7" s="696"/>
      <c r="F7" s="696"/>
      <c r="G7" s="696"/>
      <c r="H7" s="696"/>
      <c r="I7" s="696"/>
      <c r="J7" s="696"/>
      <c r="K7" s="696"/>
      <c r="L7" s="696"/>
      <c r="M7" s="696"/>
      <c r="N7" s="696"/>
      <c r="O7" s="696"/>
      <c r="P7" s="696"/>
      <c r="Q7" s="696"/>
      <c r="R7" s="697"/>
    </row>
    <row r="8" spans="1:18" ht="15.75" customHeight="1" thickBot="1">
      <c r="A8" s="698"/>
      <c r="B8" s="699"/>
      <c r="C8" s="699"/>
      <c r="D8" s="699"/>
      <c r="E8" s="699"/>
      <c r="F8" s="699"/>
      <c r="G8" s="699"/>
      <c r="H8" s="699"/>
      <c r="I8" s="699"/>
      <c r="J8" s="699"/>
      <c r="K8" s="699"/>
      <c r="L8" s="699"/>
      <c r="M8" s="699"/>
      <c r="N8" s="699"/>
      <c r="O8" s="699"/>
      <c r="P8" s="699"/>
      <c r="Q8" s="699"/>
      <c r="R8" s="700"/>
    </row>
    <row r="9" spans="1:18" ht="20.25" thickBot="1">
      <c r="A9" s="692" t="s">
        <v>165</v>
      </c>
      <c r="B9" s="693"/>
      <c r="C9" s="693"/>
      <c r="D9" s="694"/>
      <c r="G9" s="1"/>
    </row>
    <row r="10" spans="1:18">
      <c r="A10" s="701" t="s">
        <v>169</v>
      </c>
      <c r="B10" s="702"/>
      <c r="C10" s="702"/>
      <c r="D10" s="703"/>
      <c r="E10" s="77">
        <f>'Analisis Financiero'!L83</f>
        <v>2020</v>
      </c>
      <c r="F10" s="77">
        <f>'Valoración Sin Estrategia'!H54</f>
        <v>2021</v>
      </c>
      <c r="G10" s="77">
        <f>'Valoración Sin Estrategia'!I54</f>
        <v>2022</v>
      </c>
      <c r="H10" s="77">
        <f>'Valoración Sin Estrategia'!J54</f>
        <v>2023</v>
      </c>
      <c r="I10" s="77">
        <f>'Valoración Sin Estrategia'!K54</f>
        <v>2024</v>
      </c>
      <c r="J10" s="77">
        <f>'Valoración Sin Estrategia'!L54</f>
        <v>2025</v>
      </c>
      <c r="K10" s="77" t="s">
        <v>158</v>
      </c>
    </row>
    <row r="11" spans="1:18">
      <c r="A11" s="704" t="s">
        <v>157</v>
      </c>
      <c r="B11" s="704"/>
      <c r="C11" s="704"/>
      <c r="D11" s="704"/>
      <c r="E11" s="286">
        <v>-0.02</v>
      </c>
      <c r="F11" s="286">
        <v>5.0000000000000001E-3</v>
      </c>
      <c r="G11" s="286">
        <v>5.0000000000000001E-3</v>
      </c>
      <c r="H11" s="286">
        <v>0.01</v>
      </c>
      <c r="I11" s="286">
        <v>1.4999999999999999E-2</v>
      </c>
      <c r="J11" s="286">
        <v>0.02</v>
      </c>
      <c r="K11" s="115">
        <f>+SUM(E11:J11)</f>
        <v>3.5000000000000003E-2</v>
      </c>
    </row>
    <row r="12" spans="1:18">
      <c r="A12" s="704" t="s">
        <v>159</v>
      </c>
      <c r="B12" s="704"/>
      <c r="C12" s="704"/>
      <c r="D12" s="704"/>
      <c r="E12" s="287">
        <f>E11*'Analisis Financiero'!L86</f>
        <v>-751356.1568323801</v>
      </c>
      <c r="F12" s="287">
        <f>F11*'Analisis Financiero'!M86</f>
        <v>206243.50826970421</v>
      </c>
      <c r="G12" s="287">
        <f>G11*'Analisis Financiero'!N86</f>
        <v>224114.50826127408</v>
      </c>
      <c r="H12" s="287">
        <f>H11*'Analisis Financiero'!O86</f>
        <v>484759.68136913585</v>
      </c>
      <c r="I12" s="287">
        <f>I11*'Analisis Financiero'!P86</f>
        <v>783405.57827021927</v>
      </c>
      <c r="J12" s="287">
        <f>J11*'Analisis Financiero'!Q86</f>
        <v>1121063.8279123942</v>
      </c>
      <c r="K12" s="116">
        <f>SUM(E12:J12)</f>
        <v>2068230.9472503476</v>
      </c>
    </row>
    <row r="13" spans="1:18">
      <c r="G13" s="1"/>
    </row>
    <row r="14" spans="1:18">
      <c r="G14" s="1"/>
    </row>
    <row r="15" spans="1:18">
      <c r="A15" s="689" t="s">
        <v>170</v>
      </c>
      <c r="B15" s="690"/>
      <c r="C15" s="690"/>
      <c r="D15" s="691"/>
      <c r="E15" s="77">
        <f t="shared" ref="E15:J15" si="0">E10</f>
        <v>2020</v>
      </c>
      <c r="F15" s="77">
        <f t="shared" si="0"/>
        <v>2021</v>
      </c>
      <c r="G15" s="77">
        <f t="shared" si="0"/>
        <v>2022</v>
      </c>
      <c r="H15" s="77">
        <f t="shared" si="0"/>
        <v>2023</v>
      </c>
      <c r="I15" s="77">
        <f t="shared" si="0"/>
        <v>2024</v>
      </c>
      <c r="J15" s="77">
        <f t="shared" si="0"/>
        <v>2025</v>
      </c>
      <c r="K15" s="77" t="s">
        <v>158</v>
      </c>
    </row>
    <row r="16" spans="1:18">
      <c r="A16" s="704" t="s">
        <v>161</v>
      </c>
      <c r="B16" s="704"/>
      <c r="C16" s="704"/>
      <c r="D16" s="704"/>
      <c r="E16" s="286"/>
      <c r="F16" s="286"/>
      <c r="G16" s="286"/>
      <c r="H16" s="286"/>
      <c r="I16" s="286"/>
      <c r="J16" s="286"/>
      <c r="K16" s="344">
        <f>+SUM(E16:I16)</f>
        <v>0</v>
      </c>
    </row>
    <row r="17" spans="1:11">
      <c r="A17" s="704" t="s">
        <v>163</v>
      </c>
      <c r="B17" s="704"/>
      <c r="C17" s="704"/>
      <c r="D17" s="704"/>
      <c r="E17" s="287">
        <f>+'Analisis Financiero'!L88*'Estrategias Operativas'!E16</f>
        <v>0</v>
      </c>
      <c r="F17" s="287">
        <f>+'Analisis Financiero'!M88*'Estrategias Operativas'!F16</f>
        <v>0</v>
      </c>
      <c r="G17" s="287">
        <f>+'Analisis Financiero'!N88*'Estrategias Operativas'!G16</f>
        <v>0</v>
      </c>
      <c r="H17" s="287">
        <f>+'Analisis Financiero'!O88*'Estrategias Operativas'!H16</f>
        <v>0</v>
      </c>
      <c r="I17" s="287">
        <f>+'Analisis Financiero'!Q88*'Estrategias Operativas'!I16</f>
        <v>0</v>
      </c>
      <c r="J17" s="287"/>
      <c r="K17" s="116">
        <f>SUM(E17:I17)</f>
        <v>0</v>
      </c>
    </row>
    <row r="18" spans="1:11">
      <c r="G18" s="1"/>
    </row>
    <row r="19" spans="1:11">
      <c r="G19" s="1"/>
    </row>
    <row r="20" spans="1:11">
      <c r="A20" s="689" t="s">
        <v>171</v>
      </c>
      <c r="B20" s="690"/>
      <c r="C20" s="690"/>
      <c r="D20" s="691"/>
      <c r="E20" s="77">
        <f t="shared" ref="E20:J20" si="1">E15</f>
        <v>2020</v>
      </c>
      <c r="F20" s="77">
        <f t="shared" si="1"/>
        <v>2021</v>
      </c>
      <c r="G20" s="77">
        <f t="shared" si="1"/>
        <v>2022</v>
      </c>
      <c r="H20" s="77">
        <f t="shared" si="1"/>
        <v>2023</v>
      </c>
      <c r="I20" s="77">
        <f t="shared" si="1"/>
        <v>2024</v>
      </c>
      <c r="J20" s="77">
        <f t="shared" si="1"/>
        <v>2025</v>
      </c>
      <c r="K20" s="77" t="s">
        <v>158</v>
      </c>
    </row>
    <row r="21" spans="1:11">
      <c r="A21" s="704" t="s">
        <v>162</v>
      </c>
      <c r="B21" s="704"/>
      <c r="C21" s="704"/>
      <c r="D21" s="704"/>
      <c r="E21" s="286"/>
      <c r="F21" s="286"/>
      <c r="G21" s="286"/>
      <c r="H21" s="286"/>
      <c r="I21" s="286"/>
      <c r="J21" s="286"/>
      <c r="K21" s="344">
        <f>+SUM(E21:I21)</f>
        <v>0</v>
      </c>
    </row>
    <row r="22" spans="1:11">
      <c r="A22" s="704" t="s">
        <v>164</v>
      </c>
      <c r="B22" s="704"/>
      <c r="C22" s="704"/>
      <c r="D22" s="704"/>
      <c r="E22" s="287">
        <f>E21*'Analisis Financiero'!L89</f>
        <v>0</v>
      </c>
      <c r="F22" s="287">
        <f>F21*'Analisis Financiero'!M89</f>
        <v>0</v>
      </c>
      <c r="G22" s="287">
        <f>G21*'Analisis Financiero'!N89</f>
        <v>0</v>
      </c>
      <c r="H22" s="287">
        <f>H21*'Analisis Financiero'!O89</f>
        <v>0</v>
      </c>
      <c r="I22" s="287">
        <f>I21*'Analisis Financiero'!Q89</f>
        <v>0</v>
      </c>
      <c r="J22" s="287"/>
      <c r="K22" s="116">
        <f>SUM(E22:I22)</f>
        <v>0</v>
      </c>
    </row>
    <row r="23" spans="1:11">
      <c r="A23" s="1" t="s">
        <v>235</v>
      </c>
      <c r="G23" s="1"/>
    </row>
    <row r="24" spans="1:11">
      <c r="G24" s="1"/>
    </row>
    <row r="25" spans="1:11">
      <c r="A25" s="689" t="s">
        <v>172</v>
      </c>
      <c r="B25" s="690"/>
      <c r="C25" s="690"/>
      <c r="D25" s="691"/>
      <c r="E25" s="77">
        <f t="shared" ref="E25:J25" si="2">E20</f>
        <v>2020</v>
      </c>
      <c r="F25" s="77">
        <f t="shared" si="2"/>
        <v>2021</v>
      </c>
      <c r="G25" s="77">
        <f t="shared" si="2"/>
        <v>2022</v>
      </c>
      <c r="H25" s="77">
        <f t="shared" si="2"/>
        <v>2023</v>
      </c>
      <c r="I25" s="77">
        <f t="shared" si="2"/>
        <v>2024</v>
      </c>
      <c r="J25" s="77">
        <f t="shared" si="2"/>
        <v>2025</v>
      </c>
    </row>
    <row r="26" spans="1:11">
      <c r="A26" s="704" t="s">
        <v>166</v>
      </c>
      <c r="B26" s="704"/>
      <c r="C26" s="704"/>
      <c r="D26" s="704"/>
      <c r="E26" s="287">
        <f>E12</f>
        <v>-751356.1568323801</v>
      </c>
      <c r="F26" s="287">
        <f t="shared" ref="F26:J26" si="3">F12</f>
        <v>206243.50826970421</v>
      </c>
      <c r="G26" s="287">
        <f t="shared" si="3"/>
        <v>224114.50826127408</v>
      </c>
      <c r="H26" s="287">
        <f t="shared" si="3"/>
        <v>484759.68136913585</v>
      </c>
      <c r="I26" s="287">
        <f t="shared" si="3"/>
        <v>783405.57827021927</v>
      </c>
      <c r="J26" s="287">
        <f t="shared" si="3"/>
        <v>1121063.8279123942</v>
      </c>
    </row>
    <row r="27" spans="1:11">
      <c r="A27" s="704" t="s">
        <v>167</v>
      </c>
      <c r="B27" s="704"/>
      <c r="C27" s="704"/>
      <c r="D27" s="704"/>
      <c r="E27" s="287">
        <f>+E17</f>
        <v>0</v>
      </c>
      <c r="F27" s="287">
        <f t="shared" ref="F27:I27" si="4">+F17</f>
        <v>0</v>
      </c>
      <c r="G27" s="287">
        <f t="shared" si="4"/>
        <v>0</v>
      </c>
      <c r="H27" s="287">
        <f t="shared" si="4"/>
        <v>0</v>
      </c>
      <c r="I27" s="287">
        <f t="shared" si="4"/>
        <v>0</v>
      </c>
      <c r="J27" s="401"/>
    </row>
    <row r="28" spans="1:11">
      <c r="A28" s="704" t="s">
        <v>168</v>
      </c>
      <c r="B28" s="704"/>
      <c r="C28" s="704"/>
      <c r="D28" s="704"/>
      <c r="E28" s="287">
        <f>+E22</f>
        <v>0</v>
      </c>
      <c r="F28" s="287">
        <f t="shared" ref="F28:I28" si="5">+F22</f>
        <v>0</v>
      </c>
      <c r="G28" s="287">
        <f t="shared" si="5"/>
        <v>0</v>
      </c>
      <c r="H28" s="287">
        <f t="shared" si="5"/>
        <v>0</v>
      </c>
      <c r="I28" s="287">
        <f t="shared" si="5"/>
        <v>0</v>
      </c>
      <c r="J28" s="401"/>
    </row>
    <row r="29" spans="1:11">
      <c r="G29" s="1"/>
    </row>
    <row r="30" spans="1:11" ht="15.75" thickBot="1">
      <c r="G30" s="1"/>
    </row>
    <row r="31" spans="1:11" ht="20.25" thickBot="1">
      <c r="A31" s="692" t="s">
        <v>173</v>
      </c>
      <c r="B31" s="693"/>
      <c r="C31" s="693"/>
      <c r="D31" s="694"/>
      <c r="E31" s="77">
        <f t="shared" ref="E31:J31" si="6">E25</f>
        <v>2020</v>
      </c>
      <c r="F31" s="77">
        <f t="shared" si="6"/>
        <v>2021</v>
      </c>
      <c r="G31" s="77">
        <f t="shared" si="6"/>
        <v>2022</v>
      </c>
      <c r="H31" s="77">
        <f t="shared" si="6"/>
        <v>2023</v>
      </c>
      <c r="I31" s="77">
        <f t="shared" si="6"/>
        <v>2024</v>
      </c>
      <c r="J31" s="77">
        <f t="shared" si="6"/>
        <v>2025</v>
      </c>
    </row>
    <row r="32" spans="1:11">
      <c r="A32" s="704" t="s">
        <v>175</v>
      </c>
      <c r="B32" s="704"/>
      <c r="C32" s="704"/>
      <c r="D32" s="704"/>
      <c r="E32" s="23">
        <f>'Analisis Financiero'!L29</f>
        <v>-4.9946499999999894E-2</v>
      </c>
      <c r="F32" s="332">
        <f>'Analisis Financiero'!M29</f>
        <v>9.7980000000000178E-2</v>
      </c>
      <c r="G32" s="332">
        <f>'Analisis Financiero'!N29</f>
        <v>8.6649999999999894E-2</v>
      </c>
      <c r="H32" s="332">
        <f>'Analisis Financiero'!O29</f>
        <v>8.1500000000000128E-2</v>
      </c>
      <c r="I32" s="332">
        <f>'Analisis Financiero'!P29</f>
        <v>7.7380000000000004E-2</v>
      </c>
      <c r="J32" s="332">
        <f>'Analisis Financiero'!Q29</f>
        <v>7.3260000000000103E-2</v>
      </c>
    </row>
    <row r="33" spans="1:12">
      <c r="A33" s="689" t="s">
        <v>174</v>
      </c>
      <c r="B33" s="690"/>
      <c r="C33" s="690"/>
      <c r="D33" s="691"/>
      <c r="E33" s="77">
        <f t="shared" ref="E33:J33" si="7">E25</f>
        <v>2020</v>
      </c>
      <c r="F33" s="77">
        <f t="shared" si="7"/>
        <v>2021</v>
      </c>
      <c r="G33" s="77">
        <f t="shared" si="7"/>
        <v>2022</v>
      </c>
      <c r="H33" s="77">
        <f t="shared" si="7"/>
        <v>2023</v>
      </c>
      <c r="I33" s="77">
        <f t="shared" si="7"/>
        <v>2024</v>
      </c>
      <c r="J33" s="77">
        <f t="shared" si="7"/>
        <v>2025</v>
      </c>
      <c r="K33" s="77" t="s">
        <v>158</v>
      </c>
    </row>
    <row r="34" spans="1:12">
      <c r="A34" s="704" t="s">
        <v>176</v>
      </c>
      <c r="B34" s="704"/>
      <c r="C34" s="704"/>
      <c r="D34" s="704"/>
      <c r="E34" s="286">
        <v>0</v>
      </c>
      <c r="F34" s="286">
        <v>6.0000000000000001E-3</v>
      </c>
      <c r="G34" s="286">
        <v>0.01</v>
      </c>
      <c r="H34" s="286">
        <v>1.4999999999999999E-2</v>
      </c>
      <c r="I34" s="286">
        <v>2.5000000000000001E-2</v>
      </c>
      <c r="J34" s="286">
        <v>0.03</v>
      </c>
      <c r="K34" s="115">
        <f>+SUM(E34:J34)</f>
        <v>8.5999999999999993E-2</v>
      </c>
      <c r="L34" s="21"/>
    </row>
    <row r="35" spans="1:12">
      <c r="A35" s="704" t="s">
        <v>177</v>
      </c>
      <c r="B35" s="704"/>
      <c r="C35" s="704"/>
      <c r="D35" s="704"/>
      <c r="E35" s="288">
        <f>+(1+E32)*(1+E34)-1</f>
        <v>-4.9946499999999894E-2</v>
      </c>
      <c r="F35" s="351">
        <f t="shared" ref="F35:I35" si="8">+(1+F32)*(1+F34)-1</f>
        <v>0.10456788000000028</v>
      </c>
      <c r="G35" s="351">
        <f t="shared" si="8"/>
        <v>9.7516500000000006E-2</v>
      </c>
      <c r="H35" s="351">
        <f t="shared" si="8"/>
        <v>9.7722499999999934E-2</v>
      </c>
      <c r="I35" s="351">
        <f t="shared" si="8"/>
        <v>0.10431449999999987</v>
      </c>
      <c r="J35" s="351">
        <f t="shared" ref="J35" si="9">+(1+J32)*(1+J34)-1</f>
        <v>0.10545780000000016</v>
      </c>
      <c r="K35" s="344">
        <f>+SUM(E35:J35)</f>
        <v>0.45963268000000035</v>
      </c>
      <c r="L35" s="21"/>
    </row>
    <row r="36" spans="1:12">
      <c r="A36" s="704" t="s">
        <v>178</v>
      </c>
      <c r="B36" s="704"/>
      <c r="C36" s="704"/>
      <c r="D36" s="704"/>
      <c r="E36" s="320">
        <f>+('Analisis Financiero'!K85*(1+E35))</f>
        <v>44975314.177695006</v>
      </c>
      <c r="F36" s="320">
        <f>E36*(1+F35)</f>
        <v>49678287.433590531</v>
      </c>
      <c r="G36" s="320">
        <f t="shared" ref="G36:J36" si="10">F36*(1+G35)</f>
        <v>54522740.150108263</v>
      </c>
      <c r="H36" s="320">
        <f t="shared" si="10"/>
        <v>59850838.624427214</v>
      </c>
      <c r="I36" s="320">
        <f t="shared" si="10"/>
        <v>66094148.930115022</v>
      </c>
      <c r="J36" s="320">
        <f t="shared" si="10"/>
        <v>73064292.469157323</v>
      </c>
    </row>
    <row r="37" spans="1:12">
      <c r="F37" s="138"/>
      <c r="G37" s="138"/>
      <c r="H37" s="138"/>
      <c r="I37" s="138"/>
      <c r="J37" s="138"/>
    </row>
    <row r="38" spans="1:12">
      <c r="E38" s="321"/>
      <c r="G38" s="1"/>
    </row>
  </sheetData>
  <mergeCells count="26">
    <mergeCell ref="A35:D35"/>
    <mergeCell ref="A32:D32"/>
    <mergeCell ref="A36:D36"/>
    <mergeCell ref="A28:D28"/>
    <mergeCell ref="A31:D31"/>
    <mergeCell ref="A33:D33"/>
    <mergeCell ref="A34:D34"/>
    <mergeCell ref="A25:D25"/>
    <mergeCell ref="A26:D26"/>
    <mergeCell ref="A27:D27"/>
    <mergeCell ref="A16:D16"/>
    <mergeCell ref="A17:D17"/>
    <mergeCell ref="A20:D20"/>
    <mergeCell ref="A21:D21"/>
    <mergeCell ref="A22:D22"/>
    <mergeCell ref="A15:D15"/>
    <mergeCell ref="A1:R2"/>
    <mergeCell ref="A3:R3"/>
    <mergeCell ref="A4:R4"/>
    <mergeCell ref="A5:R5"/>
    <mergeCell ref="A6:R6"/>
    <mergeCell ref="A9:D9"/>
    <mergeCell ref="A7:R8"/>
    <mergeCell ref="A10:D10"/>
    <mergeCell ref="A11:D11"/>
    <mergeCell ref="A12:D1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B0F0"/>
  </sheetPr>
  <dimension ref="A1:AI104"/>
  <sheetViews>
    <sheetView zoomScale="70" zoomScaleNormal="70" workbookViewId="0">
      <selection activeCell="A14" sqref="A14:P14"/>
    </sheetView>
  </sheetViews>
  <sheetFormatPr baseColWidth="10" defaultRowHeight="15"/>
  <cols>
    <col min="1" max="5" width="11.42578125" style="1"/>
    <col min="6" max="6" width="15.28515625" style="1" customWidth="1"/>
    <col min="7" max="7" width="15.28515625" style="1" bestFit="1" customWidth="1"/>
    <col min="8" max="8" width="15.85546875" style="1" customWidth="1"/>
    <col min="9" max="10" width="15.28515625" style="1" bestFit="1" customWidth="1"/>
    <col min="11" max="11" width="18.5703125" style="1" customWidth="1"/>
    <col min="12" max="13" width="15.28515625" style="1" bestFit="1" customWidth="1"/>
    <col min="14" max="14" width="14.85546875" style="1" customWidth="1"/>
    <col min="15" max="15" width="15.28515625" style="1" bestFit="1" customWidth="1"/>
    <col min="16" max="16" width="14.85546875" style="1" bestFit="1" customWidth="1"/>
    <col min="17" max="17" width="27.85546875" style="1" customWidth="1"/>
    <col min="18" max="18" width="22.140625" style="1" bestFit="1" customWidth="1"/>
    <col min="19" max="22" width="12.28515625" style="1" bestFit="1" customWidth="1"/>
    <col min="23" max="23" width="14.7109375" style="1" customWidth="1"/>
    <col min="24" max="24" width="13.85546875" style="1" customWidth="1"/>
    <col min="25" max="25" width="15.28515625" style="1" customWidth="1"/>
    <col min="26" max="26" width="13.5703125" style="1" customWidth="1"/>
    <col min="27" max="27" width="14.140625" style="1" customWidth="1"/>
    <col min="28" max="34" width="11.42578125" style="1"/>
    <col min="35" max="35" width="24.85546875" style="1" customWidth="1"/>
    <col min="36" max="16384" width="11.42578125" style="1"/>
  </cols>
  <sheetData>
    <row r="1" spans="1:29">
      <c r="A1" s="705" t="s">
        <v>0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7"/>
    </row>
    <row r="2" spans="1:29">
      <c r="A2" s="708"/>
      <c r="B2" s="709"/>
      <c r="C2" s="709"/>
      <c r="D2" s="709"/>
      <c r="E2" s="709"/>
      <c r="F2" s="709"/>
      <c r="G2" s="709"/>
      <c r="H2" s="709"/>
      <c r="I2" s="709"/>
      <c r="J2" s="709"/>
      <c r="K2" s="709"/>
      <c r="L2" s="709"/>
      <c r="M2" s="709"/>
      <c r="N2" s="709"/>
      <c r="O2" s="709"/>
      <c r="P2" s="710"/>
    </row>
    <row r="3" spans="1:29">
      <c r="A3" s="708"/>
      <c r="B3" s="709"/>
      <c r="C3" s="709"/>
      <c r="D3" s="709"/>
      <c r="E3" s="709"/>
      <c r="F3" s="709"/>
      <c r="G3" s="709"/>
      <c r="H3" s="709"/>
      <c r="I3" s="709"/>
      <c r="J3" s="709"/>
      <c r="K3" s="709"/>
      <c r="L3" s="709"/>
      <c r="M3" s="709"/>
      <c r="N3" s="709"/>
      <c r="O3" s="709"/>
      <c r="P3" s="710"/>
    </row>
    <row r="4" spans="1:29">
      <c r="A4" s="708"/>
      <c r="B4" s="709"/>
      <c r="C4" s="709"/>
      <c r="D4" s="709"/>
      <c r="E4" s="709"/>
      <c r="F4" s="709"/>
      <c r="G4" s="709"/>
      <c r="H4" s="709"/>
      <c r="I4" s="709"/>
      <c r="J4" s="709"/>
      <c r="K4" s="709"/>
      <c r="L4" s="709"/>
      <c r="M4" s="709"/>
      <c r="N4" s="709"/>
      <c r="O4" s="709"/>
      <c r="P4" s="710"/>
    </row>
    <row r="5" spans="1:29">
      <c r="A5" s="708"/>
      <c r="B5" s="709"/>
      <c r="C5" s="709"/>
      <c r="D5" s="709"/>
      <c r="E5" s="709"/>
      <c r="F5" s="709"/>
      <c r="G5" s="709"/>
      <c r="H5" s="709"/>
      <c r="I5" s="709"/>
      <c r="J5" s="709"/>
      <c r="K5" s="709"/>
      <c r="L5" s="709"/>
      <c r="M5" s="709"/>
      <c r="N5" s="709"/>
      <c r="O5" s="709"/>
      <c r="P5" s="710"/>
    </row>
    <row r="6" spans="1:29" ht="15.75" thickBot="1">
      <c r="A6" s="179" t="str">
        <f>'Cifras Historicas'!A6</f>
        <v>Modelo INGEH V6.0 Ultima actualización Octubre de 2020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1"/>
    </row>
    <row r="8" spans="1:29" ht="15.75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29">
      <c r="A9" s="711" t="s">
        <v>39</v>
      </c>
      <c r="B9" s="712"/>
      <c r="C9" s="712"/>
      <c r="D9" s="712"/>
      <c r="E9" s="712"/>
      <c r="F9" s="712"/>
      <c r="G9" s="712"/>
      <c r="H9" s="712"/>
      <c r="I9" s="712"/>
      <c r="J9" s="712"/>
      <c r="K9" s="712"/>
      <c r="L9" s="712"/>
      <c r="M9" s="712"/>
      <c r="N9" s="712"/>
      <c r="O9" s="712"/>
      <c r="P9" s="713"/>
    </row>
    <row r="10" spans="1:29" ht="15.75" thickBot="1">
      <c r="A10" s="714"/>
      <c r="B10" s="715"/>
      <c r="C10" s="715"/>
      <c r="D10" s="715"/>
      <c r="E10" s="715"/>
      <c r="F10" s="715"/>
      <c r="G10" s="715"/>
      <c r="H10" s="715"/>
      <c r="I10" s="715"/>
      <c r="J10" s="715"/>
      <c r="K10" s="715"/>
      <c r="L10" s="715"/>
      <c r="M10" s="715"/>
      <c r="N10" s="715"/>
      <c r="O10" s="715"/>
      <c r="P10" s="716"/>
    </row>
    <row r="11" spans="1:29" ht="23.25">
      <c r="A11" s="469" t="s">
        <v>268</v>
      </c>
      <c r="B11" s="470"/>
      <c r="C11" s="470"/>
      <c r="D11" s="470"/>
      <c r="E11" s="470"/>
      <c r="F11" s="470"/>
      <c r="G11" s="470"/>
      <c r="H11" s="470"/>
      <c r="I11" s="470"/>
      <c r="J11" s="470"/>
      <c r="K11" s="470"/>
      <c r="L11" s="470"/>
      <c r="M11" s="470"/>
      <c r="N11" s="470"/>
      <c r="O11" s="470"/>
      <c r="P11" s="606"/>
    </row>
    <row r="12" spans="1:29">
      <c r="A12" s="459" t="s">
        <v>26</v>
      </c>
      <c r="B12" s="460"/>
      <c r="C12" s="460"/>
      <c r="D12" s="460"/>
      <c r="E12" s="460"/>
      <c r="F12" s="460"/>
      <c r="G12" s="460"/>
      <c r="H12" s="460"/>
      <c r="I12" s="460"/>
      <c r="J12" s="460"/>
      <c r="K12" s="460"/>
      <c r="L12" s="460"/>
      <c r="M12" s="460"/>
      <c r="N12" s="460"/>
      <c r="O12" s="460"/>
      <c r="P12" s="490"/>
    </row>
    <row r="13" spans="1:29" ht="15.75" thickBot="1">
      <c r="A13" s="459" t="s">
        <v>310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460"/>
      <c r="N13" s="460"/>
      <c r="O13" s="460"/>
      <c r="P13" s="490"/>
    </row>
    <row r="14" spans="1:29" ht="20.25" thickBot="1">
      <c r="A14" s="461" t="s">
        <v>2</v>
      </c>
      <c r="B14" s="462"/>
      <c r="C14" s="462"/>
      <c r="D14" s="462"/>
      <c r="E14" s="462"/>
      <c r="F14" s="462"/>
      <c r="G14" s="462"/>
      <c r="H14" s="462"/>
      <c r="I14" s="462"/>
      <c r="J14" s="462"/>
      <c r="K14" s="462"/>
      <c r="L14" s="462"/>
      <c r="M14" s="462"/>
      <c r="N14" s="462"/>
      <c r="O14" s="462"/>
      <c r="P14" s="521"/>
      <c r="R14" s="749" t="s">
        <v>258</v>
      </c>
      <c r="S14" s="750"/>
      <c r="T14" s="750"/>
      <c r="U14" s="750"/>
      <c r="V14" s="750"/>
      <c r="W14" s="750"/>
      <c r="X14" s="750"/>
      <c r="Y14" s="750"/>
      <c r="Z14" s="750"/>
      <c r="AA14" s="750"/>
      <c r="AB14" s="751"/>
    </row>
    <row r="15" spans="1:29" ht="15.75" thickBot="1">
      <c r="A15" s="522"/>
      <c r="B15" s="522"/>
      <c r="C15" s="522"/>
      <c r="D15" s="522"/>
      <c r="E15" s="522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R15" s="219" t="s">
        <v>258</v>
      </c>
      <c r="S15" s="220">
        <f>F24</f>
        <v>2015</v>
      </c>
      <c r="T15" s="220">
        <f t="shared" ref="T15:AC15" si="0">G24</f>
        <v>2016</v>
      </c>
      <c r="U15" s="220">
        <f t="shared" si="0"/>
        <v>2017</v>
      </c>
      <c r="V15" s="220">
        <f t="shared" si="0"/>
        <v>2018</v>
      </c>
      <c r="W15" s="221">
        <f t="shared" si="0"/>
        <v>2019</v>
      </c>
      <c r="X15" s="222">
        <f t="shared" si="0"/>
        <v>2020</v>
      </c>
      <c r="Y15" s="223">
        <f t="shared" si="0"/>
        <v>2021</v>
      </c>
      <c r="Z15" s="223">
        <f t="shared" si="0"/>
        <v>2022</v>
      </c>
      <c r="AA15" s="223">
        <f t="shared" si="0"/>
        <v>2023</v>
      </c>
      <c r="AB15" s="224">
        <f t="shared" si="0"/>
        <v>2024</v>
      </c>
      <c r="AC15" s="224">
        <f t="shared" si="0"/>
        <v>2025</v>
      </c>
    </row>
    <row r="16" spans="1:29" ht="15.75" thickBot="1">
      <c r="R16" s="216" t="s">
        <v>256</v>
      </c>
      <c r="S16" s="217">
        <f>'Analisis Financiero'!U16</f>
        <v>0.15</v>
      </c>
      <c r="T16" s="217">
        <f>'Analisis Financiero'!V16</f>
        <v>0.14000000000000001</v>
      </c>
      <c r="U16" s="217">
        <f>'Analisis Financiero'!W16</f>
        <v>0.115</v>
      </c>
      <c r="V16" s="217">
        <f>'Analisis Financiero'!X16</f>
        <v>0.12</v>
      </c>
      <c r="W16" s="218">
        <f>'Analisis Financiero'!Y16</f>
        <v>0.105</v>
      </c>
      <c r="X16" s="350">
        <f t="shared" ref="X16:AC16" si="1">_xlfn.FORECAST.LINEAR(X15,S16:W16,S15:W15)</f>
        <v>9.2999999999999972E-2</v>
      </c>
      <c r="Y16" s="348">
        <f t="shared" si="1"/>
        <v>8.3399999999997476E-2</v>
      </c>
      <c r="Z16" s="348">
        <f t="shared" si="1"/>
        <v>7.6219999999995736E-2</v>
      </c>
      <c r="AA16" s="348">
        <f t="shared" si="1"/>
        <v>6.2775999999995946E-2</v>
      </c>
      <c r="AB16" s="349">
        <f t="shared" si="1"/>
        <v>5.3710799999993952E-2</v>
      </c>
      <c r="AC16" s="349">
        <f t="shared" si="1"/>
        <v>4.4060639999994322E-2</v>
      </c>
    </row>
    <row r="17" spans="1:16">
      <c r="A17" s="711" t="s">
        <v>31</v>
      </c>
      <c r="B17" s="712"/>
      <c r="C17" s="712"/>
      <c r="D17" s="712"/>
      <c r="E17" s="712"/>
      <c r="F17" s="712"/>
      <c r="G17" s="712"/>
      <c r="H17" s="712"/>
      <c r="I17" s="712"/>
      <c r="J17" s="712"/>
      <c r="K17" s="712"/>
      <c r="L17" s="712"/>
      <c r="M17" s="712"/>
      <c r="N17" s="712"/>
      <c r="O17" s="712"/>
      <c r="P17" s="713"/>
    </row>
    <row r="18" spans="1:16" ht="15.75" thickBot="1">
      <c r="A18" s="714"/>
      <c r="B18" s="715"/>
      <c r="C18" s="715"/>
      <c r="D18" s="715"/>
      <c r="E18" s="715"/>
      <c r="F18" s="715"/>
      <c r="G18" s="715"/>
      <c r="H18" s="715"/>
      <c r="I18" s="715"/>
      <c r="J18" s="715"/>
      <c r="K18" s="715"/>
      <c r="L18" s="715"/>
      <c r="M18" s="715"/>
      <c r="N18" s="715"/>
      <c r="O18" s="715"/>
      <c r="P18" s="716"/>
    </row>
    <row r="19" spans="1:16" ht="23.25">
      <c r="A19" s="469" t="str">
        <f>+A11</f>
        <v>EMPRESA FINART S.A.S</v>
      </c>
      <c r="B19" s="470"/>
      <c r="C19" s="470"/>
      <c r="D19" s="470"/>
      <c r="E19" s="470"/>
      <c r="F19" s="470"/>
      <c r="G19" s="470"/>
      <c r="H19" s="470"/>
      <c r="I19" s="470"/>
      <c r="J19" s="470"/>
      <c r="K19" s="470"/>
      <c r="L19" s="470"/>
      <c r="M19" s="470"/>
      <c r="N19" s="470"/>
      <c r="O19" s="470"/>
      <c r="P19" s="606"/>
    </row>
    <row r="20" spans="1:16">
      <c r="A20" s="459" t="s">
        <v>32</v>
      </c>
      <c r="B20" s="460"/>
      <c r="C20" s="460"/>
      <c r="D20" s="460"/>
      <c r="E20" s="460"/>
      <c r="F20" s="460"/>
      <c r="G20" s="460"/>
      <c r="H20" s="460"/>
      <c r="I20" s="460"/>
      <c r="J20" s="460"/>
      <c r="K20" s="460"/>
      <c r="L20" s="460"/>
      <c r="M20" s="460"/>
      <c r="N20" s="460"/>
      <c r="O20" s="460"/>
      <c r="P20" s="490"/>
    </row>
    <row r="21" spans="1:16" ht="15.75" thickBot="1">
      <c r="A21" s="459"/>
      <c r="B21" s="460"/>
      <c r="C21" s="460"/>
      <c r="D21" s="460"/>
      <c r="E21" s="460"/>
      <c r="F21" s="460"/>
      <c r="G21" s="460"/>
      <c r="H21" s="460"/>
      <c r="I21" s="460"/>
      <c r="J21" s="460"/>
      <c r="K21" s="460"/>
      <c r="L21" s="460"/>
      <c r="M21" s="460"/>
      <c r="N21" s="460"/>
      <c r="O21" s="460"/>
      <c r="P21" s="490"/>
    </row>
    <row r="22" spans="1:16" ht="26.25" thickBot="1">
      <c r="A22" s="717" t="s">
        <v>33</v>
      </c>
      <c r="B22" s="718"/>
      <c r="C22" s="718"/>
      <c r="D22" s="718"/>
      <c r="E22" s="718"/>
      <c r="F22" s="718"/>
      <c r="G22" s="718"/>
      <c r="H22" s="718"/>
      <c r="I22" s="718"/>
      <c r="J22" s="718"/>
      <c r="K22" s="718"/>
      <c r="L22" s="718"/>
      <c r="M22" s="718"/>
      <c r="N22" s="718"/>
      <c r="O22" s="718"/>
      <c r="P22" s="719"/>
    </row>
    <row r="23" spans="1:16" ht="22.5" customHeight="1" thickBot="1">
      <c r="A23" s="28"/>
      <c r="B23" s="29"/>
      <c r="C23" s="29"/>
      <c r="D23" s="29"/>
      <c r="E23" s="29"/>
      <c r="F23" s="720" t="s">
        <v>37</v>
      </c>
      <c r="G23" s="721"/>
      <c r="H23" s="721"/>
      <c r="I23" s="721"/>
      <c r="J23" s="721"/>
      <c r="K23" s="720" t="s">
        <v>36</v>
      </c>
      <c r="L23" s="721"/>
      <c r="M23" s="721"/>
      <c r="N23" s="721"/>
      <c r="O23" s="721"/>
      <c r="P23" s="135"/>
    </row>
    <row r="24" spans="1:16" ht="15.75" customHeight="1" thickBot="1">
      <c r="A24" s="722" t="s">
        <v>35</v>
      </c>
      <c r="B24" s="723"/>
      <c r="C24" s="723"/>
      <c r="D24" s="723"/>
      <c r="E24" s="724"/>
      <c r="F24" s="322">
        <f>'Analisis Financiero'!G24</f>
        <v>2015</v>
      </c>
      <c r="G24" s="24">
        <f>'Analisis Financiero'!H24</f>
        <v>2016</v>
      </c>
      <c r="H24" s="24">
        <f>'Analisis Financiero'!I24</f>
        <v>2017</v>
      </c>
      <c r="I24" s="24">
        <f>'Analisis Financiero'!J24</f>
        <v>2018</v>
      </c>
      <c r="J24" s="24">
        <f>'Analisis Financiero'!K24</f>
        <v>2019</v>
      </c>
      <c r="K24" s="25">
        <f>'Analisis Financiero'!L24</f>
        <v>2020</v>
      </c>
      <c r="L24" s="25">
        <f>'Analisis Financiero'!M24</f>
        <v>2021</v>
      </c>
      <c r="M24" s="25">
        <f>'Analisis Financiero'!N24</f>
        <v>2022</v>
      </c>
      <c r="N24" s="25">
        <f>'Analisis Financiero'!O24</f>
        <v>2023</v>
      </c>
      <c r="O24" s="26">
        <f>'Analisis Financiero'!P24</f>
        <v>2024</v>
      </c>
      <c r="P24" s="26">
        <f>'Analisis Financiero'!Q24</f>
        <v>2025</v>
      </c>
    </row>
    <row r="25" spans="1:16" ht="15.75" customHeight="1">
      <c r="A25" s="725" t="s">
        <v>34</v>
      </c>
      <c r="B25" s="726"/>
      <c r="C25" s="726"/>
      <c r="D25" s="726"/>
      <c r="E25" s="727"/>
      <c r="F25" s="147">
        <f>'Analisis Financiero'!G25</f>
        <v>6.7699999999999996E-2</v>
      </c>
      <c r="G25" s="15">
        <f>'Analisis Financiero'!H25</f>
        <v>5.7500000000000002E-2</v>
      </c>
      <c r="H25" s="15">
        <f>'Analisis Financiero'!I25</f>
        <v>4.0899999999999999E-2</v>
      </c>
      <c r="I25" s="15">
        <f>'Analisis Financiero'!J25</f>
        <v>3.1800000000000002E-2</v>
      </c>
      <c r="J25" s="137">
        <f>'Analisis Financiero'!K25</f>
        <v>3.7999999999999999E-2</v>
      </c>
      <c r="K25" s="742" t="s">
        <v>261</v>
      </c>
      <c r="L25" s="743"/>
      <c r="M25" s="743"/>
      <c r="N25" s="743"/>
      <c r="O25" s="743"/>
      <c r="P25" s="744"/>
    </row>
    <row r="26" spans="1:16" ht="15.75" customHeight="1">
      <c r="A26" s="728" t="s">
        <v>249</v>
      </c>
      <c r="B26" s="432"/>
      <c r="C26" s="432"/>
      <c r="D26" s="432"/>
      <c r="E26" s="729"/>
      <c r="F26" s="147">
        <f>'Analisis Financiero'!G26</f>
        <v>0.03</v>
      </c>
      <c r="G26" s="15">
        <f>'Analisis Financiero'!H26</f>
        <v>2.1000000000000001E-2</v>
      </c>
      <c r="H26" s="15">
        <f>'Analisis Financiero'!I26</f>
        <v>1.4E-2</v>
      </c>
      <c r="I26" s="15">
        <f>'Analisis Financiero'!J26</f>
        <v>2.5000000000000001E-2</v>
      </c>
      <c r="J26" s="137">
        <f>'Analisis Financiero'!K26</f>
        <v>3.3000000000000002E-2</v>
      </c>
      <c r="K26" s="742"/>
      <c r="L26" s="743"/>
      <c r="M26" s="743"/>
      <c r="N26" s="743"/>
      <c r="O26" s="743"/>
      <c r="P26" s="744"/>
    </row>
    <row r="27" spans="1:16" ht="15.75" customHeight="1">
      <c r="A27" s="728" t="s">
        <v>250</v>
      </c>
      <c r="B27" s="432"/>
      <c r="C27" s="432"/>
      <c r="D27" s="432"/>
      <c r="E27" s="729"/>
      <c r="F27" s="323"/>
      <c r="G27" s="15">
        <f>'Analisis Financiero'!H27</f>
        <v>-2.5253821737932372</v>
      </c>
      <c r="H27" s="15">
        <f>'Analisis Financiero'!I27</f>
        <v>-1.1473587263747174</v>
      </c>
      <c r="I27" s="15">
        <f>'Analisis Financiero'!J27</f>
        <v>2.1667577112169449</v>
      </c>
      <c r="J27" s="137">
        <f>'Analisis Financiero'!K27</f>
        <v>0.54904075952052955</v>
      </c>
      <c r="K27" s="742"/>
      <c r="L27" s="743"/>
      <c r="M27" s="743"/>
      <c r="N27" s="743"/>
      <c r="O27" s="743"/>
      <c r="P27" s="744"/>
    </row>
    <row r="28" spans="1:16" ht="20.25" customHeight="1">
      <c r="A28" s="531" t="s">
        <v>254</v>
      </c>
      <c r="B28" s="463"/>
      <c r="C28" s="463"/>
      <c r="D28" s="463"/>
      <c r="E28" s="532"/>
      <c r="F28" s="323"/>
      <c r="G28" s="15">
        <f>'Analisis Financiero'!H28</f>
        <v>7.9707500000000042E-2</v>
      </c>
      <c r="H28" s="15">
        <f>'Analisis Financiero'!I28</f>
        <v>5.5472599999999872E-2</v>
      </c>
      <c r="I28" s="15">
        <f>'Analisis Financiero'!J28</f>
        <v>5.7595000000000063E-2</v>
      </c>
      <c r="J28" s="137">
        <f>'Analisis Financiero'!K28</f>
        <v>7.225400000000004E-2</v>
      </c>
      <c r="K28" s="742"/>
      <c r="L28" s="743"/>
      <c r="M28" s="743"/>
      <c r="N28" s="743"/>
      <c r="O28" s="743"/>
      <c r="P28" s="744"/>
    </row>
    <row r="29" spans="1:16" ht="20.25" customHeight="1" thickBot="1">
      <c r="A29" s="730" t="s">
        <v>251</v>
      </c>
      <c r="B29" s="731"/>
      <c r="C29" s="731"/>
      <c r="D29" s="731"/>
      <c r="E29" s="732"/>
      <c r="F29" s="324"/>
      <c r="G29" s="289">
        <f>'Analisis Financiero'!H29</f>
        <v>7.9707500000000042E-2</v>
      </c>
      <c r="H29" s="289">
        <f>'Analisis Financiero'!I29</f>
        <v>5.5472599999999872E-2</v>
      </c>
      <c r="I29" s="289">
        <f>'Analisis Financiero'!J29</f>
        <v>5.7595000000000063E-2</v>
      </c>
      <c r="J29" s="289">
        <f>'Analisis Financiero'!K29</f>
        <v>7.225400000000004E-2</v>
      </c>
      <c r="K29" s="227">
        <f>'Estrategias Operativas'!E35</f>
        <v>-4.9946499999999894E-2</v>
      </c>
      <c r="L29" s="227">
        <f>'Estrategias Operativas'!F35</f>
        <v>0.10456788000000028</v>
      </c>
      <c r="M29" s="227">
        <f>'Estrategias Operativas'!G35</f>
        <v>9.7516500000000006E-2</v>
      </c>
      <c r="N29" s="227">
        <f>'Estrategias Operativas'!H35</f>
        <v>9.7722499999999934E-2</v>
      </c>
      <c r="O29" s="228">
        <f>'Estrategias Operativas'!I35</f>
        <v>0.10431449999999987</v>
      </c>
      <c r="P29" s="228">
        <f>'Estrategias Operativas'!J35</f>
        <v>0.10545780000000016</v>
      </c>
    </row>
    <row r="30" spans="1:16" ht="15" customHeight="1">
      <c r="A30" s="733"/>
      <c r="B30" s="734"/>
      <c r="C30" s="734"/>
      <c r="D30" s="734"/>
      <c r="E30" s="734"/>
      <c r="G30" s="735" t="s">
        <v>250</v>
      </c>
      <c r="H30" s="735"/>
      <c r="I30" s="735"/>
      <c r="J30" s="735"/>
      <c r="K30" s="739" t="s">
        <v>260</v>
      </c>
      <c r="L30" s="740"/>
      <c r="M30" s="740"/>
      <c r="N30" s="740"/>
      <c r="O30" s="740"/>
      <c r="P30" s="741"/>
    </row>
    <row r="31" spans="1:16" ht="15.75" customHeight="1" thickBot="1">
      <c r="P31" s="136"/>
    </row>
    <row r="32" spans="1:16" ht="29.25" customHeight="1" thickBot="1">
      <c r="A32" s="736"/>
      <c r="B32" s="737"/>
      <c r="C32" s="737"/>
      <c r="D32" s="737"/>
      <c r="E32" s="737"/>
      <c r="F32" s="737"/>
      <c r="G32" s="737"/>
      <c r="H32" s="737"/>
      <c r="I32" s="737"/>
      <c r="J32" s="737"/>
      <c r="K32" s="737"/>
      <c r="L32" s="737"/>
      <c r="M32" s="737"/>
      <c r="N32" s="737"/>
      <c r="O32" s="738"/>
      <c r="P32" s="136"/>
    </row>
    <row r="33" spans="1:16">
      <c r="A33" s="711" t="s">
        <v>39</v>
      </c>
      <c r="B33" s="712"/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2"/>
      <c r="N33" s="712"/>
      <c r="O33" s="712"/>
      <c r="P33" s="713"/>
    </row>
    <row r="34" spans="1:16" ht="15.75" thickBot="1">
      <c r="A34" s="714"/>
      <c r="B34" s="715"/>
      <c r="C34" s="715"/>
      <c r="D34" s="715"/>
      <c r="E34" s="715"/>
      <c r="F34" s="715"/>
      <c r="G34" s="715"/>
      <c r="H34" s="715"/>
      <c r="I34" s="715"/>
      <c r="J34" s="715"/>
      <c r="K34" s="715"/>
      <c r="L34" s="715"/>
      <c r="M34" s="715"/>
      <c r="N34" s="715"/>
      <c r="O34" s="715"/>
      <c r="P34" s="716"/>
    </row>
    <row r="35" spans="1:16" ht="23.25">
      <c r="A35" s="469" t="str">
        <f>+A19</f>
        <v>EMPRESA FINART S.A.S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606"/>
    </row>
    <row r="36" spans="1:16">
      <c r="A36" s="459" t="s">
        <v>40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90"/>
    </row>
    <row r="37" spans="1:16" ht="15.75" thickBot="1">
      <c r="A37" s="534"/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6"/>
    </row>
    <row r="38" spans="1:16" ht="15.75" thickBot="1">
      <c r="A38" s="429" t="s">
        <v>10</v>
      </c>
      <c r="B38" s="429"/>
      <c r="C38" s="429"/>
      <c r="D38" s="429"/>
      <c r="E38" s="429"/>
      <c r="F38" s="18">
        <f t="shared" ref="F38:P38" si="2">F24</f>
        <v>2015</v>
      </c>
      <c r="G38" s="18">
        <f t="shared" si="2"/>
        <v>2016</v>
      </c>
      <c r="H38" s="18">
        <f t="shared" si="2"/>
        <v>2017</v>
      </c>
      <c r="I38" s="18">
        <f t="shared" si="2"/>
        <v>2018</v>
      </c>
      <c r="J38" s="30">
        <f t="shared" si="2"/>
        <v>2019</v>
      </c>
      <c r="K38" s="44">
        <f t="shared" si="2"/>
        <v>2020</v>
      </c>
      <c r="L38" s="45">
        <f t="shared" si="2"/>
        <v>2021</v>
      </c>
      <c r="M38" s="45">
        <f t="shared" si="2"/>
        <v>2022</v>
      </c>
      <c r="N38" s="45">
        <f t="shared" si="2"/>
        <v>2023</v>
      </c>
      <c r="O38" s="46">
        <f t="shared" si="2"/>
        <v>2024</v>
      </c>
      <c r="P38" s="46">
        <f t="shared" si="2"/>
        <v>2025</v>
      </c>
    </row>
    <row r="39" spans="1:16">
      <c r="A39" s="430" t="s">
        <v>11</v>
      </c>
      <c r="B39" s="431"/>
      <c r="C39" s="431"/>
      <c r="D39" s="431"/>
      <c r="E39" s="431"/>
      <c r="F39" s="5"/>
      <c r="G39" s="5"/>
      <c r="H39" s="5"/>
      <c r="I39" s="5"/>
      <c r="J39" s="5"/>
      <c r="K39" s="164"/>
      <c r="L39" s="164"/>
      <c r="M39" s="164"/>
      <c r="N39" s="164"/>
      <c r="O39" s="164"/>
      <c r="P39" s="345"/>
    </row>
    <row r="40" spans="1:16" ht="15.75">
      <c r="A40" s="432" t="s">
        <v>194</v>
      </c>
      <c r="B40" s="432"/>
      <c r="C40" s="432"/>
      <c r="D40" s="432"/>
      <c r="E40" s="432"/>
      <c r="F40" s="148">
        <f>'Cifras Historicas'!F17</f>
        <v>3103253</v>
      </c>
      <c r="G40" s="148">
        <f>'Cifras Historicas'!G17</f>
        <v>1180062</v>
      </c>
      <c r="H40" s="148">
        <f>'Cifras Historicas'!H17</f>
        <v>807943</v>
      </c>
      <c r="I40" s="148">
        <f>'Cifras Historicas'!I17</f>
        <v>2687829</v>
      </c>
      <c r="J40" s="148">
        <f>'Cifras Historicas'!J17</f>
        <v>2554195</v>
      </c>
      <c r="K40" s="148">
        <f>J40*(1+K$29)</f>
        <v>2426621.8994325004</v>
      </c>
      <c r="L40" s="148">
        <f t="shared" ref="L40:P40" si="3">K40*(1+L$29)</f>
        <v>2680368.6070177308</v>
      </c>
      <c r="M40" s="148">
        <f t="shared" si="3"/>
        <v>2941748.7722839755</v>
      </c>
      <c r="N40" s="148">
        <f t="shared" si="3"/>
        <v>3229223.8166834959</v>
      </c>
      <c r="O40" s="148">
        <f t="shared" si="3"/>
        <v>3566078.6845089258</v>
      </c>
      <c r="P40" s="148">
        <f t="shared" si="3"/>
        <v>3942149.4972041319</v>
      </c>
    </row>
    <row r="41" spans="1:16" ht="15.75">
      <c r="A41" s="432" t="s">
        <v>195</v>
      </c>
      <c r="B41" s="432"/>
      <c r="C41" s="432"/>
      <c r="D41" s="432"/>
      <c r="E41" s="432"/>
      <c r="F41" s="148">
        <f>'Cifras Historicas'!F18</f>
        <v>123118</v>
      </c>
      <c r="G41" s="148">
        <f>'Cifras Historicas'!G18</f>
        <v>3001698</v>
      </c>
      <c r="H41" s="148">
        <f>'Cifras Historicas'!H18</f>
        <v>3464630</v>
      </c>
      <c r="I41" s="148">
        <f>'Cifras Historicas'!I18</f>
        <v>2966552</v>
      </c>
      <c r="J41" s="148">
        <f>'Cifras Historicas'!J18</f>
        <v>3605195</v>
      </c>
      <c r="K41" s="148">
        <f t="shared" ref="K41:P44" si="4">J41*(1+K$29)</f>
        <v>3425128.1279325006</v>
      </c>
      <c r="L41" s="148">
        <f t="shared" si="4"/>
        <v>3783286.5149987717</v>
      </c>
      <c r="M41" s="148">
        <f t="shared" si="4"/>
        <v>4152219.3744386495</v>
      </c>
      <c r="N41" s="148">
        <f t="shared" si="4"/>
        <v>4557984.6322572306</v>
      </c>
      <c r="O41" s="148">
        <f t="shared" si="4"/>
        <v>5033448.5201788265</v>
      </c>
      <c r="P41" s="148">
        <f t="shared" si="4"/>
        <v>5564264.9275301415</v>
      </c>
    </row>
    <row r="42" spans="1:16" ht="15.75">
      <c r="A42" s="432" t="s">
        <v>196</v>
      </c>
      <c r="B42" s="432"/>
      <c r="C42" s="432"/>
      <c r="D42" s="432"/>
      <c r="E42" s="432"/>
      <c r="F42" s="148">
        <f>'Cifras Historicas'!F19</f>
        <v>14421502</v>
      </c>
      <c r="G42" s="148">
        <f>'Cifras Historicas'!G19</f>
        <v>5024392</v>
      </c>
      <c r="H42" s="148">
        <f>'Cifras Historicas'!H19</f>
        <v>4818344</v>
      </c>
      <c r="I42" s="148">
        <f>'Cifras Historicas'!I19</f>
        <v>7030714</v>
      </c>
      <c r="J42" s="148">
        <f>'Cifras Historicas'!J19</f>
        <v>7468543</v>
      </c>
      <c r="K42" s="148">
        <f t="shared" si="4"/>
        <v>7095515.4170505004</v>
      </c>
      <c r="L42" s="148">
        <f t="shared" si="4"/>
        <v>7837478.4217187893</v>
      </c>
      <c r="M42" s="148">
        <f t="shared" si="4"/>
        <v>8601761.8862303291</v>
      </c>
      <c r="N42" s="148">
        <f t="shared" si="4"/>
        <v>9442347.5621574726</v>
      </c>
      <c r="O42" s="148">
        <f t="shared" si="4"/>
        <v>10427321.326930147</v>
      </c>
      <c r="P42" s="148">
        <f t="shared" si="4"/>
        <v>11526963.693961283</v>
      </c>
    </row>
    <row r="43" spans="1:16" ht="15.75">
      <c r="A43" s="432" t="s">
        <v>197</v>
      </c>
      <c r="B43" s="432"/>
      <c r="C43" s="432"/>
      <c r="D43" s="432"/>
      <c r="E43" s="432"/>
      <c r="F43" s="148">
        <f>'Cifras Historicas'!F20</f>
        <v>4618740</v>
      </c>
      <c r="G43" s="148">
        <f>'Cifras Historicas'!G20</f>
        <v>5719287</v>
      </c>
      <c r="H43" s="148">
        <f>'Cifras Historicas'!H20</f>
        <v>6520213</v>
      </c>
      <c r="I43" s="148">
        <f>'Cifras Historicas'!I20</f>
        <v>5035879</v>
      </c>
      <c r="J43" s="148">
        <f>'Cifras Historicas'!J20</f>
        <v>7698465</v>
      </c>
      <c r="K43" s="148">
        <f t="shared" si="4"/>
        <v>7313953.6178775011</v>
      </c>
      <c r="L43" s="148">
        <f t="shared" si="4"/>
        <v>8078758.2421172839</v>
      </c>
      <c r="M43" s="148">
        <f t="shared" si="4"/>
        <v>8866570.4702347144</v>
      </c>
      <c r="N43" s="148">
        <f t="shared" si="4"/>
        <v>9733033.9030122254</v>
      </c>
      <c r="O43" s="148">
        <f t="shared" si="4"/>
        <v>10748330.468087994</v>
      </c>
      <c r="P43" s="148">
        <f t="shared" si="4"/>
        <v>11881825.752925524</v>
      </c>
    </row>
    <row r="44" spans="1:16" ht="15.75">
      <c r="A44" s="432" t="s">
        <v>198</v>
      </c>
      <c r="B44" s="432"/>
      <c r="C44" s="432"/>
      <c r="D44" s="432"/>
      <c r="E44" s="432"/>
      <c r="F44" s="148">
        <f>'Cifras Historicas'!F21</f>
        <v>2022913</v>
      </c>
      <c r="G44" s="148">
        <f>'Cifras Historicas'!G21</f>
        <v>25801</v>
      </c>
      <c r="H44" s="148">
        <f>'Cifras Historicas'!H21</f>
        <v>11885</v>
      </c>
      <c r="I44" s="148">
        <f>'Cifras Historicas'!I21</f>
        <v>10402</v>
      </c>
      <c r="J44" s="148">
        <f>'Cifras Historicas'!J21</f>
        <v>54294</v>
      </c>
      <c r="K44" s="148">
        <f t="shared" si="4"/>
        <v>51582.204729000005</v>
      </c>
      <c r="L44" s="148">
        <f t="shared" si="4"/>
        <v>56976.046523237521</v>
      </c>
      <c r="M44" s="148">
        <f t="shared" si="4"/>
        <v>62532.151164020812</v>
      </c>
      <c r="N44" s="148">
        <f t="shared" si="4"/>
        <v>68642.949306146838</v>
      </c>
      <c r="O44" s="148">
        <f t="shared" si="4"/>
        <v>75803.404241542885</v>
      </c>
      <c r="P44" s="148">
        <f t="shared" si="4"/>
        <v>83797.464485366683</v>
      </c>
    </row>
    <row r="45" spans="1:16" ht="15.75">
      <c r="A45" s="463" t="s">
        <v>199</v>
      </c>
      <c r="B45" s="463"/>
      <c r="C45" s="463"/>
      <c r="D45" s="463"/>
      <c r="E45" s="463"/>
      <c r="F45" s="178">
        <f>'Cifras Historicas'!F22</f>
        <v>24289526</v>
      </c>
      <c r="G45" s="178">
        <f>'Cifras Historicas'!G22</f>
        <v>14951240</v>
      </c>
      <c r="H45" s="178">
        <f>'Cifras Historicas'!H22</f>
        <v>15623015</v>
      </c>
      <c r="I45" s="178">
        <f>'Cifras Historicas'!I22</f>
        <v>17731376</v>
      </c>
      <c r="J45" s="178">
        <f>'Cifras Historicas'!J22</f>
        <v>21380692</v>
      </c>
      <c r="K45" s="178">
        <f>SUM(K40:K44)</f>
        <v>20312801.267022002</v>
      </c>
      <c r="L45" s="178">
        <f t="shared" ref="L45:O45" si="5">SUM(L40:L44)</f>
        <v>22436867.83237581</v>
      </c>
      <c r="M45" s="178">
        <f t="shared" si="5"/>
        <v>24624832.654351689</v>
      </c>
      <c r="N45" s="178">
        <f t="shared" si="5"/>
        <v>27031232.863416567</v>
      </c>
      <c r="O45" s="178">
        <f t="shared" si="5"/>
        <v>29850982.403947435</v>
      </c>
      <c r="P45" s="178">
        <f>SUM(P40:P44)</f>
        <v>32999001.336106446</v>
      </c>
    </row>
    <row r="46" spans="1:16">
      <c r="A46" s="464" t="s">
        <v>12</v>
      </c>
      <c r="B46" s="465"/>
      <c r="C46" s="465"/>
      <c r="D46" s="465"/>
      <c r="E46" s="465"/>
      <c r="F46" s="5"/>
      <c r="G46" s="5"/>
      <c r="H46" s="5"/>
      <c r="I46" s="5"/>
      <c r="J46" s="6"/>
      <c r="K46" s="164"/>
      <c r="L46" s="164"/>
      <c r="M46" s="164"/>
      <c r="N46" s="164"/>
      <c r="O46" s="164"/>
      <c r="P46" s="345"/>
    </row>
    <row r="47" spans="1:16" ht="15.75">
      <c r="A47" s="433" t="s">
        <v>195</v>
      </c>
      <c r="B47" s="434"/>
      <c r="C47" s="434"/>
      <c r="D47" s="434"/>
      <c r="E47" s="435"/>
      <c r="F47" s="148">
        <f>'Cifras Historicas'!F24</f>
        <v>0</v>
      </c>
      <c r="G47" s="148">
        <f>'Cifras Historicas'!G24</f>
        <v>0</v>
      </c>
      <c r="H47" s="148">
        <f>'Cifras Historicas'!H24</f>
        <v>0</v>
      </c>
      <c r="I47" s="148">
        <f>'Cifras Historicas'!I24</f>
        <v>0</v>
      </c>
      <c r="J47" s="148">
        <f>'Cifras Historicas'!J24</f>
        <v>0</v>
      </c>
      <c r="K47" s="148">
        <f t="shared" ref="K47:P51" si="6">J47*(1+K$29)</f>
        <v>0</v>
      </c>
      <c r="L47" s="148">
        <f t="shared" si="6"/>
        <v>0</v>
      </c>
      <c r="M47" s="148">
        <f t="shared" si="6"/>
        <v>0</v>
      </c>
      <c r="N47" s="148">
        <f t="shared" si="6"/>
        <v>0</v>
      </c>
      <c r="O47" s="148">
        <f t="shared" si="6"/>
        <v>0</v>
      </c>
      <c r="P47" s="148">
        <f t="shared" si="6"/>
        <v>0</v>
      </c>
    </row>
    <row r="48" spans="1:16" ht="15.75">
      <c r="A48" s="432" t="s">
        <v>200</v>
      </c>
      <c r="B48" s="432"/>
      <c r="C48" s="432"/>
      <c r="D48" s="432"/>
      <c r="E48" s="432"/>
      <c r="F48" s="148">
        <f>'Cifras Historicas'!F25</f>
        <v>0</v>
      </c>
      <c r="G48" s="148">
        <f>'Cifras Historicas'!G25</f>
        <v>0</v>
      </c>
      <c r="H48" s="148">
        <f>'Cifras Historicas'!H25</f>
        <v>0</v>
      </c>
      <c r="I48" s="148">
        <f>'Cifras Historicas'!I25</f>
        <v>0</v>
      </c>
      <c r="J48" s="148">
        <f>'Cifras Historicas'!J25</f>
        <v>0</v>
      </c>
      <c r="K48" s="148">
        <f t="shared" si="6"/>
        <v>0</v>
      </c>
      <c r="L48" s="148">
        <f t="shared" si="6"/>
        <v>0</v>
      </c>
      <c r="M48" s="148">
        <f t="shared" si="6"/>
        <v>0</v>
      </c>
      <c r="N48" s="148">
        <f t="shared" si="6"/>
        <v>0</v>
      </c>
      <c r="O48" s="148">
        <f t="shared" si="6"/>
        <v>0</v>
      </c>
      <c r="P48" s="148">
        <f t="shared" si="6"/>
        <v>0</v>
      </c>
    </row>
    <row r="49" spans="1:35" ht="15.75">
      <c r="A49" s="432" t="s">
        <v>201</v>
      </c>
      <c r="B49" s="432"/>
      <c r="C49" s="432"/>
      <c r="D49" s="432"/>
      <c r="E49" s="432"/>
      <c r="F49" s="148">
        <f>'Cifras Historicas'!F26</f>
        <v>2026164</v>
      </c>
      <c r="G49" s="148">
        <f>'Cifras Historicas'!G26</f>
        <v>2015598</v>
      </c>
      <c r="H49" s="148">
        <f>'Cifras Historicas'!H26</f>
        <v>1674573</v>
      </c>
      <c r="I49" s="148">
        <f>'Cifras Historicas'!I26</f>
        <v>1860558</v>
      </c>
      <c r="J49" s="148">
        <f>'Cifras Historicas'!J26</f>
        <v>2257287</v>
      </c>
      <c r="K49" s="148">
        <f t="shared" si="6"/>
        <v>2144543.4148545004</v>
      </c>
      <c r="L49" s="148">
        <f t="shared" si="6"/>
        <v>2368793.7733137966</v>
      </c>
      <c r="M49" s="148">
        <f t="shared" si="6"/>
        <v>2599790.2513091513</v>
      </c>
      <c r="N49" s="148">
        <f t="shared" si="6"/>
        <v>2853848.2541427095</v>
      </c>
      <c r="O49" s="148">
        <f t="shared" si="6"/>
        <v>3151546.0078494786</v>
      </c>
      <c r="P49" s="148">
        <f t="shared" si="6"/>
        <v>3483901.116436068</v>
      </c>
    </row>
    <row r="50" spans="1:35" ht="15.75">
      <c r="A50" s="432" t="s">
        <v>202</v>
      </c>
      <c r="B50" s="432"/>
      <c r="C50" s="432"/>
      <c r="D50" s="432"/>
      <c r="E50" s="432"/>
      <c r="F50" s="148">
        <f>'Cifras Historicas'!F27</f>
        <v>15755</v>
      </c>
      <c r="G50" s="148">
        <f>'Cifras Historicas'!G27</f>
        <v>11055</v>
      </c>
      <c r="H50" s="148">
        <f>'Cifras Historicas'!H27</f>
        <v>22491</v>
      </c>
      <c r="I50" s="148">
        <f>'Cifras Historicas'!I27</f>
        <v>30573</v>
      </c>
      <c r="J50" s="148">
        <f>'Cifras Historicas'!J27</f>
        <v>18414</v>
      </c>
      <c r="K50" s="148">
        <f t="shared" si="6"/>
        <v>17494.285149000003</v>
      </c>
      <c r="L50" s="148">
        <f t="shared" si="6"/>
        <v>19323.625459146424</v>
      </c>
      <c r="M50" s="148">
        <f t="shared" si="6"/>
        <v>21207.997781233276</v>
      </c>
      <c r="N50" s="148">
        <f t="shared" si="6"/>
        <v>23280.496344409843</v>
      </c>
      <c r="O50" s="148">
        <f t="shared" si="6"/>
        <v>25708.989680328781</v>
      </c>
      <c r="P50" s="148">
        <f t="shared" si="6"/>
        <v>28420.203172238962</v>
      </c>
    </row>
    <row r="51" spans="1:35" ht="15.75">
      <c r="A51" s="432" t="s">
        <v>203</v>
      </c>
      <c r="B51" s="432"/>
      <c r="C51" s="432"/>
      <c r="D51" s="432"/>
      <c r="E51" s="432"/>
      <c r="F51" s="148">
        <f>'Cifras Historicas'!F28</f>
        <v>500430</v>
      </c>
      <c r="G51" s="148">
        <f>'Cifras Historicas'!G28</f>
        <v>595124</v>
      </c>
      <c r="H51" s="148">
        <f>'Cifras Historicas'!H28</f>
        <v>868092</v>
      </c>
      <c r="I51" s="148">
        <f>'Cifras Historicas'!I28</f>
        <v>772009</v>
      </c>
      <c r="J51" s="148">
        <f>'Cifras Historicas'!J28</f>
        <v>768312</v>
      </c>
      <c r="K51" s="148">
        <f t="shared" si="6"/>
        <v>729937.5046920001</v>
      </c>
      <c r="L51" s="148">
        <f t="shared" si="6"/>
        <v>806265.52209013281</v>
      </c>
      <c r="M51" s="148">
        <f t="shared" si="6"/>
        <v>884889.71387503529</v>
      </c>
      <c r="N51" s="148">
        <f t="shared" si="6"/>
        <v>971363.34893918841</v>
      </c>
      <c r="O51" s="148">
        <f t="shared" si="6"/>
        <v>1072690.6310021053</v>
      </c>
      <c r="P51" s="148">
        <f t="shared" si="6"/>
        <v>1185814.2250281994</v>
      </c>
    </row>
    <row r="52" spans="1:35" ht="15.75">
      <c r="A52" s="432" t="s">
        <v>204</v>
      </c>
      <c r="B52" s="432"/>
      <c r="C52" s="432"/>
      <c r="D52" s="432"/>
      <c r="E52" s="432"/>
      <c r="F52" s="178">
        <f>'Cifras Historicas'!F29</f>
        <v>2542349</v>
      </c>
      <c r="G52" s="178">
        <f>'Cifras Historicas'!G29</f>
        <v>2621777</v>
      </c>
      <c r="H52" s="178">
        <f>'Cifras Historicas'!H29</f>
        <v>2565156</v>
      </c>
      <c r="I52" s="178">
        <f>'Cifras Historicas'!I29</f>
        <v>2663140</v>
      </c>
      <c r="J52" s="178">
        <f>'Cifras Historicas'!J29</f>
        <v>3044013</v>
      </c>
      <c r="K52" s="178">
        <f>SUM(K47:K51)</f>
        <v>2891975.2046955004</v>
      </c>
      <c r="L52" s="178">
        <f t="shared" ref="L52:O52" si="7">SUM(L47:L51)</f>
        <v>3194382.9208630756</v>
      </c>
      <c r="M52" s="178">
        <f t="shared" si="7"/>
        <v>3505887.96296542</v>
      </c>
      <c r="N52" s="178">
        <f t="shared" si="7"/>
        <v>3848492.0994263077</v>
      </c>
      <c r="O52" s="178">
        <f t="shared" si="7"/>
        <v>4249945.6285319123</v>
      </c>
      <c r="P52" s="178">
        <f t="shared" ref="P52" si="8">SUM(P47:P51)</f>
        <v>4698135.5446365066</v>
      </c>
    </row>
    <row r="53" spans="1:35">
      <c r="A53" s="151"/>
      <c r="B53" s="151"/>
      <c r="C53" s="151"/>
      <c r="D53" s="151"/>
      <c r="E53" s="15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35" ht="15.75">
      <c r="A54" s="436" t="s">
        <v>4</v>
      </c>
      <c r="B54" s="436"/>
      <c r="C54" s="436"/>
      <c r="D54" s="436"/>
      <c r="E54" s="436"/>
      <c r="F54" s="176">
        <f t="shared" ref="F54:O54" si="9">F45+F52</f>
        <v>26831875</v>
      </c>
      <c r="G54" s="176">
        <f t="shared" si="9"/>
        <v>17573017</v>
      </c>
      <c r="H54" s="176">
        <f t="shared" si="9"/>
        <v>18188171</v>
      </c>
      <c r="I54" s="176">
        <f t="shared" si="9"/>
        <v>20394516</v>
      </c>
      <c r="J54" s="176">
        <f t="shared" si="9"/>
        <v>24424705</v>
      </c>
      <c r="K54" s="177">
        <f t="shared" si="9"/>
        <v>23204776.471717503</v>
      </c>
      <c r="L54" s="177">
        <f t="shared" si="9"/>
        <v>25631250.753238887</v>
      </c>
      <c r="M54" s="177">
        <f t="shared" si="9"/>
        <v>28130720.61731711</v>
      </c>
      <c r="N54" s="177">
        <f t="shared" si="9"/>
        <v>30879724.962842874</v>
      </c>
      <c r="O54" s="177">
        <f t="shared" si="9"/>
        <v>34100928.032479346</v>
      </c>
      <c r="P54" s="177">
        <f t="shared" ref="P54" si="10">P45+P52</f>
        <v>37697136.880742952</v>
      </c>
    </row>
    <row r="55" spans="1:35">
      <c r="A55" s="3"/>
      <c r="P55" s="328"/>
    </row>
    <row r="56" spans="1:35">
      <c r="A56" s="464" t="s">
        <v>13</v>
      </c>
      <c r="B56" s="465"/>
      <c r="C56" s="465"/>
      <c r="D56" s="465"/>
      <c r="E56" s="465"/>
      <c r="F56" s="5"/>
      <c r="G56" s="5"/>
      <c r="H56" s="5"/>
      <c r="I56" s="5"/>
      <c r="J56" s="6"/>
      <c r="K56" s="164"/>
      <c r="L56" s="164"/>
      <c r="M56" s="164"/>
      <c r="N56" s="164"/>
      <c r="O56" s="164"/>
      <c r="P56" s="345"/>
      <c r="Q56" s="2"/>
      <c r="R56" s="2"/>
      <c r="S56" s="2"/>
      <c r="T56" s="2"/>
      <c r="U56" s="16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ht="15.75">
      <c r="A57" s="432" t="s">
        <v>205</v>
      </c>
      <c r="B57" s="432"/>
      <c r="C57" s="432"/>
      <c r="D57" s="432"/>
      <c r="E57" s="432"/>
      <c r="F57" s="148">
        <f>'Cifras Historicas'!F34</f>
        <v>5471054</v>
      </c>
      <c r="G57" s="148">
        <f>'Cifras Historicas'!G34</f>
        <v>5323898</v>
      </c>
      <c r="H57" s="148">
        <f>'Cifras Historicas'!H34</f>
        <v>4784801</v>
      </c>
      <c r="I57" s="148">
        <f>'Cifras Historicas'!I34</f>
        <v>2204331</v>
      </c>
      <c r="J57" s="148">
        <f>'Cifras Historicas'!J34</f>
        <v>1950000</v>
      </c>
      <c r="K57" s="148">
        <f t="shared" ref="K57:P61" si="11">J57*(1+K$29)</f>
        <v>1852604.3250000002</v>
      </c>
      <c r="L57" s="148">
        <f t="shared" si="11"/>
        <v>2046327.2317440817</v>
      </c>
      <c r="M57" s="148">
        <f t="shared" si="11"/>
        <v>2245877.9012384536</v>
      </c>
      <c r="N57" s="148">
        <f t="shared" si="11"/>
        <v>2465350.7044422282</v>
      </c>
      <c r="O57" s="148">
        <f t="shared" si="11"/>
        <v>2722522.5305007668</v>
      </c>
      <c r="P57" s="148">
        <f t="shared" si="11"/>
        <v>3009633.7670178111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ht="15.75">
      <c r="A58" s="432" t="s">
        <v>206</v>
      </c>
      <c r="B58" s="432"/>
      <c r="C58" s="432"/>
      <c r="D58" s="432"/>
      <c r="E58" s="432"/>
      <c r="F58" s="148">
        <f>'Cifras Historicas'!F35</f>
        <v>4150120</v>
      </c>
      <c r="G58" s="148">
        <f>'Cifras Historicas'!G35</f>
        <v>3690546</v>
      </c>
      <c r="H58" s="148">
        <f>'Cifras Historicas'!H35</f>
        <v>4623497</v>
      </c>
      <c r="I58" s="148">
        <f>'Cifras Historicas'!I35</f>
        <v>8431694</v>
      </c>
      <c r="J58" s="148">
        <f>'Cifras Historicas'!J35</f>
        <v>8777872</v>
      </c>
      <c r="K58" s="148">
        <f t="shared" si="11"/>
        <v>8339448.016152001</v>
      </c>
      <c r="L58" s="148">
        <f t="shared" si="11"/>
        <v>9211486.4155712239</v>
      </c>
      <c r="M58" s="148">
        <f t="shared" si="11"/>
        <v>10109758.330615275</v>
      </c>
      <c r="N58" s="148">
        <f t="shared" si="11"/>
        <v>11097709.189078825</v>
      </c>
      <c r="O58" s="148">
        <f t="shared" si="11"/>
        <v>12255361.174282987</v>
      </c>
      <c r="P58" s="148">
        <f t="shared" si="11"/>
        <v>13547784.601928288</v>
      </c>
      <c r="Q58" s="2"/>
      <c r="R58" s="745"/>
      <c r="S58" s="745"/>
      <c r="T58" s="745"/>
      <c r="U58" s="745"/>
      <c r="V58" s="745"/>
      <c r="W58" s="745"/>
      <c r="X58" s="745"/>
      <c r="Y58" s="745"/>
      <c r="Z58" s="745"/>
      <c r="AA58" s="745"/>
      <c r="AB58" s="2"/>
      <c r="AC58" s="2"/>
      <c r="AD58" s="2"/>
      <c r="AE58" s="2"/>
      <c r="AF58" s="2"/>
      <c r="AG58" s="2"/>
      <c r="AH58" s="2"/>
      <c r="AI58" s="2"/>
    </row>
    <row r="59" spans="1:35" ht="15.75">
      <c r="A59" s="432" t="s">
        <v>207</v>
      </c>
      <c r="B59" s="432"/>
      <c r="C59" s="432"/>
      <c r="D59" s="432"/>
      <c r="E59" s="432"/>
      <c r="F59" s="148">
        <f>'Cifras Historicas'!F36</f>
        <v>0</v>
      </c>
      <c r="G59" s="148">
        <f>'Cifras Historicas'!G36</f>
        <v>0</v>
      </c>
      <c r="H59" s="148">
        <f>'Cifras Historicas'!H36</f>
        <v>0</v>
      </c>
      <c r="I59" s="148">
        <f>'Cifras Historicas'!I36</f>
        <v>0</v>
      </c>
      <c r="J59" s="148">
        <f>'Cifras Historicas'!J36</f>
        <v>0</v>
      </c>
      <c r="K59" s="148">
        <f t="shared" si="11"/>
        <v>0</v>
      </c>
      <c r="L59" s="148">
        <f t="shared" si="11"/>
        <v>0</v>
      </c>
      <c r="M59" s="148">
        <f t="shared" si="11"/>
        <v>0</v>
      </c>
      <c r="N59" s="148">
        <f t="shared" si="11"/>
        <v>0</v>
      </c>
      <c r="O59" s="148">
        <f t="shared" si="11"/>
        <v>0</v>
      </c>
      <c r="P59" s="148">
        <f t="shared" si="11"/>
        <v>0</v>
      </c>
      <c r="Q59" s="2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2"/>
      <c r="AC59" s="2"/>
      <c r="AD59" s="2"/>
      <c r="AE59" s="2"/>
      <c r="AF59" s="2"/>
      <c r="AG59" s="2"/>
      <c r="AH59" s="2"/>
      <c r="AI59" s="2"/>
    </row>
    <row r="60" spans="1:35" ht="15.75">
      <c r="A60" s="432" t="s">
        <v>208</v>
      </c>
      <c r="B60" s="432"/>
      <c r="C60" s="432"/>
      <c r="D60" s="432"/>
      <c r="E60" s="432"/>
      <c r="F60" s="148">
        <f>'Cifras Historicas'!F37</f>
        <v>454170</v>
      </c>
      <c r="G60" s="148">
        <f>'Cifras Historicas'!G37</f>
        <v>270940</v>
      </c>
      <c r="H60" s="148">
        <f>'Cifras Historicas'!H37</f>
        <v>102321</v>
      </c>
      <c r="I60" s="148">
        <f>'Cifras Historicas'!I37</f>
        <v>100491</v>
      </c>
      <c r="J60" s="148">
        <f>'Cifras Historicas'!J37</f>
        <v>193963</v>
      </c>
      <c r="K60" s="148">
        <f t="shared" si="11"/>
        <v>184275.22702050002</v>
      </c>
      <c r="L60" s="148">
        <f t="shared" si="11"/>
        <v>203544.49684655247</v>
      </c>
      <c r="M60" s="148">
        <f t="shared" si="11"/>
        <v>223393.4437732893</v>
      </c>
      <c r="N60" s="148">
        <f t="shared" si="11"/>
        <v>245224.00958242454</v>
      </c>
      <c r="O60" s="148">
        <f t="shared" si="11"/>
        <v>270804.42953001033</v>
      </c>
      <c r="P60" s="148">
        <f t="shared" si="11"/>
        <v>299362.86889850028</v>
      </c>
      <c r="Q60" s="166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1"/>
      <c r="AC60" s="141"/>
      <c r="AD60" s="141"/>
      <c r="AE60" s="141"/>
      <c r="AF60" s="141"/>
      <c r="AG60" s="141"/>
      <c r="AH60" s="141"/>
      <c r="AI60" s="141"/>
    </row>
    <row r="61" spans="1:35" ht="15.75">
      <c r="A61" s="432" t="s">
        <v>209</v>
      </c>
      <c r="B61" s="432"/>
      <c r="C61" s="432"/>
      <c r="D61" s="432"/>
      <c r="E61" s="432"/>
      <c r="F61" s="148">
        <f>'Cifras Historicas'!F38</f>
        <v>0</v>
      </c>
      <c r="G61" s="148">
        <f>'Cifras Historicas'!G38</f>
        <v>0</v>
      </c>
      <c r="H61" s="148">
        <f>'Cifras Historicas'!H38</f>
        <v>0</v>
      </c>
      <c r="I61" s="148">
        <f>'Cifras Historicas'!I38</f>
        <v>0</v>
      </c>
      <c r="J61" s="148">
        <f>'Cifras Historicas'!J38</f>
        <v>1286436</v>
      </c>
      <c r="K61" s="148">
        <f t="shared" si="11"/>
        <v>1222183.0243260001</v>
      </c>
      <c r="L61" s="148">
        <f t="shared" si="11"/>
        <v>1349984.1121517587</v>
      </c>
      <c r="M61" s="148">
        <f t="shared" si="11"/>
        <v>1481629.8378244056</v>
      </c>
      <c r="N61" s="148">
        <f t="shared" si="11"/>
        <v>1626418.409651201</v>
      </c>
      <c r="O61" s="148">
        <f t="shared" si="11"/>
        <v>1796077.4328447611</v>
      </c>
      <c r="P61" s="148">
        <f t="shared" si="11"/>
        <v>1985487.8075422177</v>
      </c>
      <c r="Q61" s="166"/>
      <c r="R61" s="2"/>
      <c r="S61" s="139"/>
      <c r="T61" s="139"/>
      <c r="U61" s="139"/>
      <c r="V61" s="139"/>
      <c r="W61" s="139"/>
      <c r="X61" s="139"/>
      <c r="Y61" s="139"/>
      <c r="Z61" s="139"/>
      <c r="AA61" s="139"/>
      <c r="AB61" s="141"/>
      <c r="AC61" s="141"/>
      <c r="AD61" s="141"/>
      <c r="AE61" s="141"/>
      <c r="AF61" s="141"/>
      <c r="AG61" s="141"/>
      <c r="AH61" s="141"/>
      <c r="AI61" s="141"/>
    </row>
    <row r="62" spans="1:35" ht="15.75">
      <c r="A62" s="432" t="s">
        <v>5</v>
      </c>
      <c r="B62" s="432"/>
      <c r="C62" s="432"/>
      <c r="D62" s="432"/>
      <c r="E62" s="432"/>
      <c r="F62" s="178">
        <f>'Cifras Historicas'!F39</f>
        <v>10075344</v>
      </c>
      <c r="G62" s="178">
        <f>'Cifras Historicas'!G39</f>
        <v>9285384</v>
      </c>
      <c r="H62" s="178">
        <f>'Cifras Historicas'!H39</f>
        <v>9510619</v>
      </c>
      <c r="I62" s="178">
        <f>'Cifras Historicas'!I39</f>
        <v>10736516</v>
      </c>
      <c r="J62" s="178">
        <f>'Cifras Historicas'!J39</f>
        <v>12208271</v>
      </c>
      <c r="K62" s="178">
        <f>SUM(K57:K61)</f>
        <v>11598510.592498502</v>
      </c>
      <c r="L62" s="178">
        <f t="shared" ref="L62:O62" si="12">SUM(L57:L61)</f>
        <v>12811342.256313616</v>
      </c>
      <c r="M62" s="178">
        <f t="shared" si="12"/>
        <v>14060659.513451423</v>
      </c>
      <c r="N62" s="178">
        <f t="shared" si="12"/>
        <v>15434702.312754678</v>
      </c>
      <c r="O62" s="178">
        <f t="shared" si="12"/>
        <v>17044765.567158524</v>
      </c>
      <c r="P62" s="178">
        <f t="shared" ref="P62" si="13">SUM(P57:P61)</f>
        <v>18842269.045386817</v>
      </c>
      <c r="Q62" s="166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1"/>
      <c r="AC62" s="141"/>
      <c r="AD62" s="141"/>
      <c r="AE62" s="141"/>
      <c r="AF62" s="141"/>
      <c r="AG62" s="141"/>
      <c r="AH62" s="141"/>
      <c r="AI62" s="141"/>
    </row>
    <row r="63" spans="1:35">
      <c r="A63" s="464" t="s">
        <v>14</v>
      </c>
      <c r="B63" s="465"/>
      <c r="C63" s="465"/>
      <c r="D63" s="465"/>
      <c r="E63" s="465"/>
      <c r="F63" s="5"/>
      <c r="G63" s="5"/>
      <c r="H63" s="5"/>
      <c r="I63" s="5"/>
      <c r="J63" s="6"/>
      <c r="K63" s="164"/>
      <c r="L63" s="164"/>
      <c r="M63" s="164"/>
      <c r="N63" s="164"/>
      <c r="O63" s="164"/>
      <c r="P63" s="345"/>
      <c r="Q63" s="2"/>
      <c r="R63" s="2"/>
      <c r="S63" s="2"/>
      <c r="T63" s="2"/>
      <c r="U63" s="2"/>
      <c r="V63" s="2"/>
      <c r="W63" s="167"/>
      <c r="X63" s="167"/>
      <c r="Y63" s="167"/>
      <c r="Z63" s="167"/>
      <c r="AA63" s="167"/>
      <c r="AB63" s="2"/>
      <c r="AC63" s="2"/>
      <c r="AD63" s="2"/>
      <c r="AE63" s="2"/>
      <c r="AF63" s="2"/>
      <c r="AG63" s="2"/>
      <c r="AH63" s="2"/>
      <c r="AI63" s="2"/>
    </row>
    <row r="64" spans="1:35" ht="15.75">
      <c r="A64" s="432" t="s">
        <v>205</v>
      </c>
      <c r="B64" s="432"/>
      <c r="C64" s="432"/>
      <c r="D64" s="432"/>
      <c r="E64" s="432"/>
      <c r="F64" s="148">
        <f>'Cifras Historicas'!F41</f>
        <v>0</v>
      </c>
      <c r="G64" s="148">
        <f>'Cifras Historicas'!G41</f>
        <v>0</v>
      </c>
      <c r="H64" s="148">
        <f>'Cifras Historicas'!H41</f>
        <v>0</v>
      </c>
      <c r="I64" s="148">
        <f>'Cifras Historicas'!I41</f>
        <v>0</v>
      </c>
      <c r="J64" s="148">
        <f>'Cifras Historicas'!J41</f>
        <v>0</v>
      </c>
      <c r="K64" s="148">
        <f t="shared" ref="K64:P66" si="14">J64*(1+K$29)</f>
        <v>0</v>
      </c>
      <c r="L64" s="148">
        <f t="shared" si="14"/>
        <v>0</v>
      </c>
      <c r="M64" s="148">
        <f t="shared" si="14"/>
        <v>0</v>
      </c>
      <c r="N64" s="148">
        <f t="shared" si="14"/>
        <v>0</v>
      </c>
      <c r="O64" s="148">
        <f t="shared" si="14"/>
        <v>0</v>
      </c>
      <c r="P64" s="148">
        <f t="shared" si="14"/>
        <v>0</v>
      </c>
      <c r="Q64" s="54"/>
      <c r="R64" s="139"/>
      <c r="S64" s="139"/>
      <c r="T64" s="139"/>
      <c r="U64" s="139"/>
      <c r="V64" s="139"/>
      <c r="W64" s="140"/>
      <c r="X64" s="140"/>
      <c r="Y64" s="140"/>
      <c r="Z64" s="140"/>
      <c r="AA64" s="140"/>
      <c r="AB64" s="141"/>
      <c r="AC64" s="141"/>
      <c r="AD64" s="141"/>
      <c r="AE64" s="141"/>
      <c r="AF64" s="141"/>
      <c r="AG64" s="141"/>
      <c r="AH64" s="141"/>
      <c r="AI64" s="141"/>
    </row>
    <row r="65" spans="1:16" ht="15.75">
      <c r="A65" s="432" t="s">
        <v>210</v>
      </c>
      <c r="B65" s="432"/>
      <c r="C65" s="432"/>
      <c r="D65" s="432"/>
      <c r="E65" s="432"/>
      <c r="F65" s="148">
        <f>'Cifras Historicas'!F42</f>
        <v>0</v>
      </c>
      <c r="G65" s="148">
        <f>'Cifras Historicas'!G42</f>
        <v>0</v>
      </c>
      <c r="H65" s="148">
        <f>'Cifras Historicas'!H42</f>
        <v>0</v>
      </c>
      <c r="I65" s="148">
        <f>'Cifras Historicas'!I42</f>
        <v>0</v>
      </c>
      <c r="J65" s="148">
        <f>'Cifras Historicas'!J42</f>
        <v>0</v>
      </c>
      <c r="K65" s="148">
        <f t="shared" si="14"/>
        <v>0</v>
      </c>
      <c r="L65" s="148">
        <f t="shared" si="14"/>
        <v>0</v>
      </c>
      <c r="M65" s="148">
        <f t="shared" si="14"/>
        <v>0</v>
      </c>
      <c r="N65" s="148">
        <f t="shared" si="14"/>
        <v>0</v>
      </c>
      <c r="O65" s="148">
        <f t="shared" si="14"/>
        <v>0</v>
      </c>
      <c r="P65" s="148">
        <f t="shared" si="14"/>
        <v>0</v>
      </c>
    </row>
    <row r="66" spans="1:16" ht="15.75">
      <c r="A66" s="432" t="s">
        <v>209</v>
      </c>
      <c r="B66" s="432"/>
      <c r="C66" s="432"/>
      <c r="D66" s="432"/>
      <c r="E66" s="432"/>
      <c r="F66" s="148">
        <f>'Cifras Historicas'!F43</f>
        <v>0</v>
      </c>
      <c r="G66" s="148">
        <f>'Cifras Historicas'!G43</f>
        <v>0</v>
      </c>
      <c r="H66" s="148">
        <f>'Cifras Historicas'!H43</f>
        <v>0</v>
      </c>
      <c r="I66" s="148">
        <f>'Cifras Historicas'!I43</f>
        <v>0</v>
      </c>
      <c r="J66" s="148">
        <f>'Cifras Historicas'!J43</f>
        <v>0</v>
      </c>
      <c r="K66" s="148">
        <f t="shared" si="14"/>
        <v>0</v>
      </c>
      <c r="L66" s="148">
        <f t="shared" si="14"/>
        <v>0</v>
      </c>
      <c r="M66" s="148">
        <f t="shared" si="14"/>
        <v>0</v>
      </c>
      <c r="N66" s="148">
        <f t="shared" si="14"/>
        <v>0</v>
      </c>
      <c r="O66" s="148">
        <f t="shared" si="14"/>
        <v>0</v>
      </c>
      <c r="P66" s="148">
        <f t="shared" si="14"/>
        <v>0</v>
      </c>
    </row>
    <row r="67" spans="1:16" ht="15.75">
      <c r="A67" s="432" t="s">
        <v>6</v>
      </c>
      <c r="B67" s="432"/>
      <c r="C67" s="432"/>
      <c r="D67" s="432"/>
      <c r="E67" s="432"/>
      <c r="F67" s="178">
        <f>'Cifras Historicas'!F44</f>
        <v>0</v>
      </c>
      <c r="G67" s="178">
        <f>'Cifras Historicas'!G44</f>
        <v>0</v>
      </c>
      <c r="H67" s="178">
        <f>'Cifras Historicas'!H44</f>
        <v>0</v>
      </c>
      <c r="I67" s="178">
        <f>'Cifras Historicas'!I44</f>
        <v>0</v>
      </c>
      <c r="J67" s="178">
        <f>'Cifras Historicas'!J44</f>
        <v>0</v>
      </c>
      <c r="K67" s="178">
        <f>SUM(K64:K66)</f>
        <v>0</v>
      </c>
      <c r="L67" s="178">
        <f t="shared" ref="L67:O67" si="15">SUM(L64:L66)</f>
        <v>0</v>
      </c>
      <c r="M67" s="178">
        <f t="shared" si="15"/>
        <v>0</v>
      </c>
      <c r="N67" s="178">
        <f t="shared" si="15"/>
        <v>0</v>
      </c>
      <c r="O67" s="178">
        <f t="shared" si="15"/>
        <v>0</v>
      </c>
      <c r="P67" s="178">
        <f t="shared" ref="P67" si="16">SUM(P64:P66)</f>
        <v>0</v>
      </c>
    </row>
    <row r="68" spans="1:16">
      <c r="A68" s="3"/>
      <c r="B68" s="3"/>
      <c r="C68" s="3"/>
      <c r="D68" s="3"/>
      <c r="E68" s="3"/>
      <c r="P68" s="328"/>
    </row>
    <row r="69" spans="1:16" ht="15.75">
      <c r="A69" s="436" t="s">
        <v>7</v>
      </c>
      <c r="B69" s="436"/>
      <c r="C69" s="436"/>
      <c r="D69" s="436"/>
      <c r="E69" s="436"/>
      <c r="F69" s="176">
        <f t="shared" ref="F69:J69" si="17">F62+F67</f>
        <v>10075344</v>
      </c>
      <c r="G69" s="176">
        <f t="shared" si="17"/>
        <v>9285384</v>
      </c>
      <c r="H69" s="176">
        <f t="shared" si="17"/>
        <v>9510619</v>
      </c>
      <c r="I69" s="176">
        <f t="shared" si="17"/>
        <v>10736516</v>
      </c>
      <c r="J69" s="176">
        <f t="shared" si="17"/>
        <v>12208271</v>
      </c>
      <c r="K69" s="177">
        <f>SUM(K62,K67)</f>
        <v>11598510.592498502</v>
      </c>
      <c r="L69" s="177">
        <f t="shared" ref="L69:O69" si="18">SUM(L62,L67)</f>
        <v>12811342.256313616</v>
      </c>
      <c r="M69" s="177">
        <f t="shared" si="18"/>
        <v>14060659.513451423</v>
      </c>
      <c r="N69" s="177">
        <f t="shared" si="18"/>
        <v>15434702.312754678</v>
      </c>
      <c r="O69" s="177">
        <f t="shared" si="18"/>
        <v>17044765.567158524</v>
      </c>
      <c r="P69" s="177">
        <f t="shared" ref="P69" si="19">SUM(P62,P67)</f>
        <v>18842269.045386817</v>
      </c>
    </row>
    <row r="70" spans="1:16">
      <c r="A70" s="3"/>
      <c r="P70" s="328"/>
    </row>
    <row r="71" spans="1:16">
      <c r="A71" s="464" t="s">
        <v>15</v>
      </c>
      <c r="B71" s="465"/>
      <c r="C71" s="465"/>
      <c r="D71" s="465"/>
      <c r="E71" s="465"/>
      <c r="F71" s="5"/>
      <c r="G71" s="5"/>
      <c r="H71" s="5"/>
      <c r="I71" s="5"/>
      <c r="J71" s="6"/>
      <c r="K71" s="164"/>
      <c r="L71" s="164"/>
      <c r="M71" s="164"/>
      <c r="N71" s="164"/>
      <c r="O71" s="164"/>
      <c r="P71" s="345"/>
    </row>
    <row r="72" spans="1:16" ht="15.75">
      <c r="A72" s="432" t="s">
        <v>211</v>
      </c>
      <c r="B72" s="432"/>
      <c r="C72" s="432"/>
      <c r="D72" s="432"/>
      <c r="E72" s="432"/>
      <c r="F72" s="148">
        <f>'Cifras Historicas'!F49</f>
        <v>1405500</v>
      </c>
      <c r="G72" s="148">
        <f>'Cifras Historicas'!G49</f>
        <v>1405500</v>
      </c>
      <c r="H72" s="148">
        <f>'Cifras Historicas'!H49</f>
        <v>1405500</v>
      </c>
      <c r="I72" s="148">
        <f>'Cifras Historicas'!I49</f>
        <v>1405500</v>
      </c>
      <c r="J72" s="148">
        <f>'Cifras Historicas'!J49</f>
        <v>1405500</v>
      </c>
      <c r="K72" s="148">
        <f>J72</f>
        <v>1405500</v>
      </c>
      <c r="L72" s="148">
        <f t="shared" ref="L72:P72" si="20">K72</f>
        <v>1405500</v>
      </c>
      <c r="M72" s="148">
        <f t="shared" si="20"/>
        <v>1405500</v>
      </c>
      <c r="N72" s="148">
        <f t="shared" si="20"/>
        <v>1405500</v>
      </c>
      <c r="O72" s="148">
        <f t="shared" si="20"/>
        <v>1405500</v>
      </c>
      <c r="P72" s="148">
        <f t="shared" si="20"/>
        <v>1405500</v>
      </c>
    </row>
    <row r="73" spans="1:16" ht="15.75">
      <c r="A73" s="432" t="s">
        <v>212</v>
      </c>
      <c r="B73" s="432"/>
      <c r="C73" s="432"/>
      <c r="D73" s="432"/>
      <c r="E73" s="432"/>
      <c r="F73" s="148">
        <f>'Cifras Historicas'!F50</f>
        <v>0</v>
      </c>
      <c r="G73" s="148">
        <f>'Cifras Historicas'!G50</f>
        <v>0</v>
      </c>
      <c r="H73" s="148">
        <f>'Cifras Historicas'!H50</f>
        <v>0</v>
      </c>
      <c r="I73" s="148">
        <f>'Cifras Historicas'!I50</f>
        <v>0</v>
      </c>
      <c r="J73" s="148">
        <f>'Cifras Historicas'!J50</f>
        <v>391380</v>
      </c>
      <c r="K73" s="148">
        <f t="shared" ref="K73:P73" si="21">J73*(1+K$29)</f>
        <v>371831.93883000006</v>
      </c>
      <c r="L73" s="148">
        <f t="shared" si="21"/>
        <v>410713.61638974294</v>
      </c>
      <c r="M73" s="148">
        <f t="shared" si="21"/>
        <v>450764.97076241329</v>
      </c>
      <c r="N73" s="148">
        <f t="shared" si="21"/>
        <v>494814.85061774321</v>
      </c>
      <c r="O73" s="148">
        <f t="shared" si="21"/>
        <v>546431.21435250773</v>
      </c>
      <c r="P73" s="148">
        <f t="shared" si="21"/>
        <v>604056.64806945168</v>
      </c>
    </row>
    <row r="74" spans="1:16" ht="15.75">
      <c r="A74" s="432" t="s">
        <v>213</v>
      </c>
      <c r="B74" s="432"/>
      <c r="C74" s="432"/>
      <c r="D74" s="432"/>
      <c r="E74" s="432"/>
      <c r="F74" s="148">
        <f>'Cifras Historicas'!F51</f>
        <v>683048</v>
      </c>
      <c r="G74" s="148">
        <f>'Cifras Historicas'!G51</f>
        <v>683048</v>
      </c>
      <c r="H74" s="148">
        <f>'Cifras Historicas'!H51</f>
        <v>683048</v>
      </c>
      <c r="I74" s="148">
        <f>'Cifras Historicas'!I51</f>
        <v>428717</v>
      </c>
      <c r="J74" s="148">
        <f>'Cifras Historicas'!J51</f>
        <v>683048</v>
      </c>
      <c r="K74" s="148">
        <v>7454968.3506509066</v>
      </c>
      <c r="L74" s="148">
        <v>7075419.3233188428</v>
      </c>
      <c r="M74" s="148">
        <v>7415874.9639590792</v>
      </c>
      <c r="N74" s="148">
        <v>7246197.3825962134</v>
      </c>
      <c r="O74" s="148">
        <v>6549087.9121956825</v>
      </c>
      <c r="P74" s="148">
        <v>5146680.2224713787</v>
      </c>
    </row>
    <row r="75" spans="1:16" ht="15.75">
      <c r="A75" s="432" t="s">
        <v>214</v>
      </c>
      <c r="B75" s="432"/>
      <c r="C75" s="432"/>
      <c r="D75" s="432"/>
      <c r="E75" s="432"/>
      <c r="F75" s="148">
        <f>'Cifras Historicas'!F52</f>
        <v>14667983</v>
      </c>
      <c r="G75" s="148">
        <f>'Cifras Historicas'!G52</f>
        <v>6199085</v>
      </c>
      <c r="H75" s="148">
        <f>'Cifras Historicas'!H52</f>
        <v>6589004</v>
      </c>
      <c r="I75" s="148">
        <f>'Cifras Historicas'!I52</f>
        <v>7823783</v>
      </c>
      <c r="J75" s="148">
        <f>'Cifras Historicas'!J52</f>
        <v>9736506</v>
      </c>
      <c r="K75" s="148">
        <f>K98</f>
        <v>2373965.5897380933</v>
      </c>
      <c r="L75" s="148">
        <f t="shared" ref="L75:O75" si="22">L98</f>
        <v>3928275.5572166843</v>
      </c>
      <c r="M75" s="148">
        <f t="shared" si="22"/>
        <v>4797921.1691441936</v>
      </c>
      <c r="N75" s="148">
        <f t="shared" si="22"/>
        <v>6298510.4168742392</v>
      </c>
      <c r="O75" s="148">
        <f t="shared" si="22"/>
        <v>8555143.338772634</v>
      </c>
      <c r="P75" s="148">
        <f t="shared" ref="P75" si="23">P98</f>
        <v>11698630.964815304</v>
      </c>
    </row>
    <row r="76" spans="1:16" ht="15.75">
      <c r="A76" s="432" t="s">
        <v>8</v>
      </c>
      <c r="B76" s="432"/>
      <c r="C76" s="432"/>
      <c r="D76" s="432"/>
      <c r="E76" s="432"/>
      <c r="F76" s="178">
        <f>'Cifras Historicas'!F53</f>
        <v>16756531</v>
      </c>
      <c r="G76" s="178">
        <f>'Cifras Historicas'!G53</f>
        <v>8287633</v>
      </c>
      <c r="H76" s="178">
        <f>'Cifras Historicas'!H53</f>
        <v>8677552</v>
      </c>
      <c r="I76" s="178">
        <f>'Cifras Historicas'!I53</f>
        <v>9658000</v>
      </c>
      <c r="J76" s="178">
        <f>'Cifras Historicas'!J53</f>
        <v>12216434</v>
      </c>
      <c r="K76" s="178">
        <f>SUM(K72:K75)</f>
        <v>11606265.879218999</v>
      </c>
      <c r="L76" s="178">
        <f t="shared" ref="L76:O76" si="24">SUM(L72:L75)</f>
        <v>12819908.496925272</v>
      </c>
      <c r="M76" s="178">
        <f t="shared" si="24"/>
        <v>14070061.103865687</v>
      </c>
      <c r="N76" s="178">
        <f t="shared" si="24"/>
        <v>15445022.650088197</v>
      </c>
      <c r="O76" s="178">
        <f t="shared" si="24"/>
        <v>17056162.465320826</v>
      </c>
      <c r="P76" s="178">
        <f t="shared" ref="P76" si="25">SUM(P72:P75)</f>
        <v>18854867.835356135</v>
      </c>
    </row>
    <row r="77" spans="1:16">
      <c r="A77" s="151"/>
      <c r="B77" s="151"/>
      <c r="C77" s="151"/>
      <c r="D77" s="151"/>
      <c r="E77" s="15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15.75">
      <c r="A78" s="436" t="s">
        <v>9</v>
      </c>
      <c r="B78" s="436"/>
      <c r="C78" s="436"/>
      <c r="D78" s="436"/>
      <c r="E78" s="436"/>
      <c r="F78" s="176">
        <f t="shared" ref="F78:O78" si="26">F69+F76</f>
        <v>26831875</v>
      </c>
      <c r="G78" s="176">
        <f t="shared" si="26"/>
        <v>17573017</v>
      </c>
      <c r="H78" s="176">
        <f t="shared" si="26"/>
        <v>18188171</v>
      </c>
      <c r="I78" s="176">
        <f t="shared" si="26"/>
        <v>20394516</v>
      </c>
      <c r="J78" s="176">
        <f t="shared" si="26"/>
        <v>24424705</v>
      </c>
      <c r="K78" s="177">
        <f t="shared" si="26"/>
        <v>23204776.471717499</v>
      </c>
      <c r="L78" s="177">
        <f t="shared" si="26"/>
        <v>25631250.753238887</v>
      </c>
      <c r="M78" s="177">
        <f t="shared" si="26"/>
        <v>28130720.61731711</v>
      </c>
      <c r="N78" s="177">
        <f t="shared" si="26"/>
        <v>30879724.962842874</v>
      </c>
      <c r="O78" s="177">
        <f t="shared" si="26"/>
        <v>34100928.032479346</v>
      </c>
      <c r="P78" s="177">
        <f t="shared" ref="P78" si="27">P69+P76</f>
        <v>37697136.880742952</v>
      </c>
    </row>
    <row r="79" spans="1:16">
      <c r="F79" s="43"/>
      <c r="K79" s="43"/>
      <c r="L79" s="43"/>
      <c r="M79" s="43"/>
      <c r="N79" s="43"/>
      <c r="O79" s="43"/>
      <c r="P79" s="43"/>
    </row>
    <row r="80" spans="1:16" ht="15.75">
      <c r="A80" s="466" t="s">
        <v>16</v>
      </c>
      <c r="B80" s="467"/>
      <c r="C80" s="467"/>
      <c r="D80" s="467"/>
      <c r="E80" s="468"/>
      <c r="F80" s="165">
        <f t="shared" ref="F80:O80" si="28">F54-F78</f>
        <v>0</v>
      </c>
      <c r="G80" s="165">
        <f t="shared" si="28"/>
        <v>0</v>
      </c>
      <c r="H80" s="165">
        <f t="shared" si="28"/>
        <v>0</v>
      </c>
      <c r="I80" s="165">
        <f t="shared" si="28"/>
        <v>0</v>
      </c>
      <c r="J80" s="165">
        <f t="shared" si="28"/>
        <v>0</v>
      </c>
      <c r="K80" s="189">
        <f t="shared" si="28"/>
        <v>0</v>
      </c>
      <c r="L80" s="189">
        <f t="shared" si="28"/>
        <v>0</v>
      </c>
      <c r="M80" s="189">
        <f t="shared" si="28"/>
        <v>0</v>
      </c>
      <c r="N80" s="189">
        <f t="shared" si="28"/>
        <v>0</v>
      </c>
      <c r="O80" s="189">
        <f t="shared" si="28"/>
        <v>0</v>
      </c>
      <c r="P80" s="189">
        <f t="shared" ref="P80" si="29">P54-P78</f>
        <v>0</v>
      </c>
    </row>
    <row r="82" spans="1:16" ht="15.75" thickBot="1"/>
    <row r="83" spans="1:16" ht="15.75" thickBot="1">
      <c r="A83" s="429" t="s">
        <v>25</v>
      </c>
      <c r="B83" s="429"/>
      <c r="C83" s="429"/>
      <c r="D83" s="429"/>
      <c r="E83" s="429"/>
      <c r="F83" s="13">
        <f>'Cifras Historicas'!F63</f>
        <v>2015</v>
      </c>
      <c r="G83" s="13">
        <f>'Cifras Historicas'!G63</f>
        <v>2016</v>
      </c>
      <c r="H83" s="13">
        <f>'Cifras Historicas'!H63</f>
        <v>2017</v>
      </c>
      <c r="I83" s="13">
        <f>'Cifras Historicas'!I63</f>
        <v>2018</v>
      </c>
      <c r="J83" s="17">
        <f>'Cifras Historicas'!J63</f>
        <v>2019</v>
      </c>
      <c r="K83" s="44">
        <f t="shared" ref="K83:P83" si="30">K38</f>
        <v>2020</v>
      </c>
      <c r="L83" s="45">
        <f t="shared" si="30"/>
        <v>2021</v>
      </c>
      <c r="M83" s="45">
        <f t="shared" si="30"/>
        <v>2022</v>
      </c>
      <c r="N83" s="45">
        <f t="shared" si="30"/>
        <v>2023</v>
      </c>
      <c r="O83" s="46">
        <f t="shared" si="30"/>
        <v>2024</v>
      </c>
      <c r="P83" s="46">
        <f t="shared" si="30"/>
        <v>2025</v>
      </c>
    </row>
    <row r="84" spans="1:16">
      <c r="A84" s="464" t="s">
        <v>22</v>
      </c>
      <c r="B84" s="465"/>
      <c r="C84" s="465"/>
      <c r="D84" s="465"/>
      <c r="E84" s="465"/>
      <c r="F84" s="5"/>
      <c r="G84" s="5"/>
      <c r="H84" s="5"/>
      <c r="I84" s="5"/>
      <c r="J84" s="5"/>
      <c r="K84" s="746"/>
      <c r="L84" s="747"/>
      <c r="M84" s="747"/>
      <c r="N84" s="747"/>
      <c r="O84" s="748"/>
    </row>
    <row r="85" spans="1:16" ht="15.75">
      <c r="A85" s="433" t="s">
        <v>215</v>
      </c>
      <c r="B85" s="434"/>
      <c r="C85" s="434"/>
      <c r="D85" s="434"/>
      <c r="E85" s="435"/>
      <c r="F85" s="148">
        <f>'Cifras Historicas'!F65</f>
        <v>38715485</v>
      </c>
      <c r="G85" s="148">
        <f>'Cifras Historicas'!G65</f>
        <v>28632157</v>
      </c>
      <c r="H85" s="148">
        <f>'Cifras Historicas'!H65</f>
        <v>35125738</v>
      </c>
      <c r="I85" s="148">
        <f>'Cifras Historicas'!I65</f>
        <v>41528969</v>
      </c>
      <c r="J85" s="148">
        <f>'Cifras Historicas'!J65</f>
        <v>47339770</v>
      </c>
      <c r="K85" s="148">
        <f>'Estrategias Operativas'!E36</f>
        <v>44975314.177695006</v>
      </c>
      <c r="L85" s="148">
        <f>'Estrategias Operativas'!F36</f>
        <v>49678287.433590531</v>
      </c>
      <c r="M85" s="148">
        <f>'Estrategias Operativas'!G36</f>
        <v>54522740.150108263</v>
      </c>
      <c r="N85" s="148">
        <f>'Estrategias Operativas'!H36</f>
        <v>59850838.624427214</v>
      </c>
      <c r="O85" s="148">
        <f>'Estrategias Operativas'!I36</f>
        <v>66094148.930115022</v>
      </c>
      <c r="P85" s="148">
        <f>'Estrategias Operativas'!J36</f>
        <v>73064292.469157323</v>
      </c>
    </row>
    <row r="86" spans="1:16" ht="15.75">
      <c r="A86" s="433" t="s">
        <v>216</v>
      </c>
      <c r="B86" s="434"/>
      <c r="C86" s="434"/>
      <c r="D86" s="434"/>
      <c r="E86" s="435"/>
      <c r="F86" s="150">
        <f>'Cifras Historicas'!F66</f>
        <v>33505579</v>
      </c>
      <c r="G86" s="150">
        <f>'Cifras Historicas'!G66</f>
        <v>28101039</v>
      </c>
      <c r="H86" s="150">
        <f>'Cifras Historicas'!H66</f>
        <v>31960144</v>
      </c>
      <c r="I86" s="148">
        <f>'Cifras Historicas'!I66</f>
        <v>36875646</v>
      </c>
      <c r="J86" s="148">
        <f>'Cifras Historicas'!J66</f>
        <v>39542834</v>
      </c>
      <c r="K86" s="150">
        <f>'Analisis Financiero'!L86-'Estrategias Operativas'!E26</f>
        <v>38319163.998451389</v>
      </c>
      <c r="L86" s="150">
        <f>'Analisis Financiero'!M86-'Estrategias Operativas'!F26</f>
        <v>41042458.145671137</v>
      </c>
      <c r="M86" s="150">
        <f>'Analisis Financiero'!N86-'Estrategias Operativas'!G26</f>
        <v>44598787.143993542</v>
      </c>
      <c r="N86" s="150">
        <f>'Analisis Financiero'!O86-'Estrategias Operativas'!H26</f>
        <v>47991208.455544449</v>
      </c>
      <c r="O86" s="150">
        <f>'Analisis Financiero'!P86-'Estrategias Operativas'!I26</f>
        <v>51443632.973077737</v>
      </c>
      <c r="P86" s="150">
        <f>'Analisis Financiero'!Q86-'Estrategias Operativas'!J26</f>
        <v>54932127.567707315</v>
      </c>
    </row>
    <row r="87" spans="1:16" ht="15.75">
      <c r="A87" s="463" t="s">
        <v>19</v>
      </c>
      <c r="B87" s="463"/>
      <c r="C87" s="463"/>
      <c r="D87" s="463"/>
      <c r="E87" s="463"/>
      <c r="F87" s="175">
        <f t="shared" ref="F87:J87" si="31">F85-F86</f>
        <v>5209906</v>
      </c>
      <c r="G87" s="175">
        <f t="shared" si="31"/>
        <v>531118</v>
      </c>
      <c r="H87" s="175">
        <f t="shared" si="31"/>
        <v>3165594</v>
      </c>
      <c r="I87" s="175">
        <f t="shared" si="31"/>
        <v>4653323</v>
      </c>
      <c r="J87" s="175">
        <f t="shared" si="31"/>
        <v>7796936</v>
      </c>
      <c r="K87" s="175">
        <f>K85-K86</f>
        <v>6656150.1792436168</v>
      </c>
      <c r="L87" s="347">
        <f t="shared" ref="L87:O87" si="32">L85-L86</f>
        <v>8635829.2879193947</v>
      </c>
      <c r="M87" s="347">
        <f t="shared" si="32"/>
        <v>9923953.0061147213</v>
      </c>
      <c r="N87" s="347">
        <f t="shared" si="32"/>
        <v>11859630.168882765</v>
      </c>
      <c r="O87" s="347">
        <f t="shared" si="32"/>
        <v>14650515.957037285</v>
      </c>
      <c r="P87" s="347">
        <f t="shared" ref="P87" si="33">P85-P86</f>
        <v>18132164.901450008</v>
      </c>
    </row>
    <row r="88" spans="1:16" ht="15.75">
      <c r="A88" s="432" t="s">
        <v>217</v>
      </c>
      <c r="B88" s="432"/>
      <c r="C88" s="432"/>
      <c r="D88" s="432"/>
      <c r="E88" s="432"/>
      <c r="F88" s="150">
        <f>'Cifras Historicas'!F68</f>
        <v>2164509</v>
      </c>
      <c r="G88" s="150">
        <f>'Cifras Historicas'!G68</f>
        <v>2390236</v>
      </c>
      <c r="H88" s="150">
        <f>'Cifras Historicas'!H68</f>
        <v>2254844</v>
      </c>
      <c r="I88" s="150">
        <f>'Cifras Historicas'!I68</f>
        <v>2298706</v>
      </c>
      <c r="J88" s="150">
        <f>'Cifras Historicas'!J68</f>
        <v>2838368</v>
      </c>
      <c r="K88" s="150">
        <f>'Analisis Financiero'!L88-'Estrategias Operativas'!E27</f>
        <v>2691063.9486956554</v>
      </c>
      <c r="L88" s="150">
        <f>'Analisis Financiero'!M88-'Estrategias Operativas'!F27</f>
        <v>2954734.3943888564</v>
      </c>
      <c r="M88" s="150">
        <f>'Analisis Financiero'!N88-'Estrategias Operativas'!G27</f>
        <v>3210762.1296626506</v>
      </c>
      <c r="N88" s="150">
        <f>'Analisis Financiero'!O88-'Estrategias Operativas'!H27</f>
        <v>3472439.2432301571</v>
      </c>
      <c r="O88" s="150">
        <f>'Analisis Financiero'!P88-'Estrategias Operativas'!I27</f>
        <v>3741136.5918713068</v>
      </c>
      <c r="P88" s="150">
        <f>'Analisis Financiero'!Q88-'Estrategias Operativas'!J27</f>
        <v>4015212.2585917991</v>
      </c>
    </row>
    <row r="89" spans="1:16" ht="15.75">
      <c r="A89" s="432" t="s">
        <v>218</v>
      </c>
      <c r="B89" s="432"/>
      <c r="C89" s="432"/>
      <c r="D89" s="432"/>
      <c r="E89" s="432"/>
      <c r="F89" s="150">
        <f>'Cifras Historicas'!F69</f>
        <v>946717</v>
      </c>
      <c r="G89" s="150">
        <f>'Cifras Historicas'!G69</f>
        <v>579542</v>
      </c>
      <c r="H89" s="150">
        <f>'Cifras Historicas'!H69</f>
        <v>528433</v>
      </c>
      <c r="I89" s="150">
        <f>'Cifras Historicas'!I69</f>
        <v>586174</v>
      </c>
      <c r="J89" s="150">
        <f>'Cifras Historicas'!J69</f>
        <v>863533</v>
      </c>
      <c r="K89" s="150">
        <f>'Analisis Financiero'!L89-'Estrategias Operativas'!E28</f>
        <v>710610.50440265797</v>
      </c>
      <c r="L89" s="150">
        <f>'Analisis Financiero'!M89-'Estrategias Operativas'!F28</f>
        <v>780236.12162403052</v>
      </c>
      <c r="M89" s="150">
        <f>'Analisis Financiero'!N89-'Estrategias Operativas'!G28</f>
        <v>847843.58156275272</v>
      </c>
      <c r="N89" s="150">
        <f>'Analisis Financiero'!O89-'Estrategias Operativas'!H28</f>
        <v>916942.83346011722</v>
      </c>
      <c r="O89" s="150">
        <f>'Analisis Financiero'!Q89-'Estrategias Operativas'!I28</f>
        <v>1060269.1213431067</v>
      </c>
      <c r="P89" s="150">
        <f>'Analisis Financiero'!P89-'Estrategias Operativas'!J28</f>
        <v>987895.86991326103</v>
      </c>
    </row>
    <row r="90" spans="1:16" ht="15.75">
      <c r="A90" s="463" t="s">
        <v>20</v>
      </c>
      <c r="B90" s="463"/>
      <c r="C90" s="463"/>
      <c r="D90" s="463"/>
      <c r="E90" s="463"/>
      <c r="F90" s="175">
        <f t="shared" ref="F90:J90" si="34">F87-F88-F89</f>
        <v>2098680</v>
      </c>
      <c r="G90" s="175">
        <f t="shared" si="34"/>
        <v>-2438660</v>
      </c>
      <c r="H90" s="175">
        <f t="shared" si="34"/>
        <v>382317</v>
      </c>
      <c r="I90" s="175">
        <f t="shared" si="34"/>
        <v>1768443</v>
      </c>
      <c r="J90" s="175">
        <f t="shared" si="34"/>
        <v>4095035</v>
      </c>
      <c r="K90" s="175">
        <f>+K87-K88-K89</f>
        <v>3254475.7261453033</v>
      </c>
      <c r="L90" s="347">
        <f t="shared" ref="L90:O90" si="35">+L87-L88-L89</f>
        <v>4900858.7719065081</v>
      </c>
      <c r="M90" s="347">
        <f t="shared" si="35"/>
        <v>5865347.2948893178</v>
      </c>
      <c r="N90" s="347">
        <f t="shared" si="35"/>
        <v>7470248.0921924915</v>
      </c>
      <c r="O90" s="347">
        <f t="shared" si="35"/>
        <v>9849110.2438228726</v>
      </c>
      <c r="P90" s="347">
        <f t="shared" ref="P90" si="36">+P87-P88-P89</f>
        <v>13129056.772944948</v>
      </c>
    </row>
    <row r="91" spans="1:16">
      <c r="A91" s="464" t="s">
        <v>23</v>
      </c>
      <c r="B91" s="465"/>
      <c r="C91" s="465"/>
      <c r="D91" s="465"/>
      <c r="E91" s="465"/>
      <c r="F91" s="5"/>
      <c r="G91" s="5"/>
      <c r="H91" s="5"/>
      <c r="I91" s="5"/>
      <c r="J91" s="6"/>
      <c r="K91" s="164"/>
      <c r="L91" s="164"/>
      <c r="M91" s="164"/>
      <c r="N91" s="164"/>
      <c r="O91" s="164"/>
      <c r="P91" s="345"/>
    </row>
    <row r="92" spans="1:16" ht="15.75">
      <c r="A92" s="432" t="s">
        <v>219</v>
      </c>
      <c r="B92" s="432"/>
      <c r="C92" s="432"/>
      <c r="D92" s="432"/>
      <c r="E92" s="432"/>
      <c r="F92" s="148">
        <f>'Cifras Historicas'!F72</f>
        <v>8050815</v>
      </c>
      <c r="G92" s="148">
        <f>'Cifras Historicas'!G72</f>
        <v>6196524</v>
      </c>
      <c r="H92" s="148">
        <f>'Cifras Historicas'!H72</f>
        <v>1358789</v>
      </c>
      <c r="I92" s="150">
        <f>'Cifras Historicas'!I72</f>
        <v>63706</v>
      </c>
      <c r="J92" s="150">
        <f>'Cifras Historicas'!J72</f>
        <v>-358507</v>
      </c>
      <c r="K92" s="148">
        <f>K85*'Cifras Historicas'!$P$72</f>
        <v>489399.23167313635</v>
      </c>
      <c r="L92" s="148">
        <f>L85*'Cifras Historicas'!$P$72</f>
        <v>540574.67180282518</v>
      </c>
      <c r="M92" s="148">
        <f>M85*'Cifras Historicas'!$P$72</f>
        <v>593289.62178568542</v>
      </c>
      <c r="N92" s="150">
        <f>N85*'Cifras Historicas'!$P$72</f>
        <v>651267.36685063702</v>
      </c>
      <c r="O92" s="150">
        <f>O85*'Cifras Historicas'!$P$72</f>
        <v>719203.99658997776</v>
      </c>
      <c r="P92" s="150">
        <f>P85*'Cifras Historicas'!$P$72</f>
        <v>795049.66782156448</v>
      </c>
    </row>
    <row r="93" spans="1:16" ht="15.75">
      <c r="A93" s="432" t="s">
        <v>220</v>
      </c>
      <c r="B93" s="432"/>
      <c r="C93" s="432"/>
      <c r="D93" s="432"/>
      <c r="E93" s="432"/>
      <c r="F93" s="150">
        <f>'Cifras Historicas'!F73</f>
        <v>188288</v>
      </c>
      <c r="G93" s="150">
        <f>'Cifras Historicas'!G73</f>
        <v>11720</v>
      </c>
      <c r="H93" s="150">
        <f>'Cifras Historicas'!H73</f>
        <v>76445</v>
      </c>
      <c r="I93" s="150">
        <f>'Cifras Historicas'!I73</f>
        <v>0</v>
      </c>
      <c r="J93" s="150">
        <f>'Cifras Historicas'!J73</f>
        <v>144126</v>
      </c>
      <c r="K93" s="148">
        <f>K85*'Cifras Historicas'!$P$73</f>
        <v>78269.427838741758</v>
      </c>
      <c r="L93" s="148">
        <f>L85*'Cifras Historicas'!$P$73</f>
        <v>86453.895976651984</v>
      </c>
      <c r="M93" s="148">
        <f>M85*'Cifras Historicas'!$P$73</f>
        <v>94884.577323659178</v>
      </c>
      <c r="N93" s="148">
        <f>N85*'Cifras Historicas'!$P$73</f>
        <v>104156.93543117045</v>
      </c>
      <c r="O93" s="148">
        <f>O85*'Cifras Historicas'!$P$73</f>
        <v>115022.01407220527</v>
      </c>
      <c r="P93" s="148">
        <f>P85*'Cifras Historicas'!$P$73</f>
        <v>127151.98262782911</v>
      </c>
    </row>
    <row r="94" spans="1:16" ht="15.75">
      <c r="A94" s="432" t="s">
        <v>221</v>
      </c>
      <c r="B94" s="432"/>
      <c r="C94" s="432"/>
      <c r="D94" s="432"/>
      <c r="E94" s="432"/>
      <c r="F94" s="150">
        <f>'Cifras Historicas'!F74</f>
        <v>6624280</v>
      </c>
      <c r="G94" s="150">
        <f>'Cifras Historicas'!G74</f>
        <v>6229530</v>
      </c>
      <c r="H94" s="150">
        <f>'Cifras Historicas'!H74</f>
        <v>1459144</v>
      </c>
      <c r="I94" s="150">
        <f>'Cifras Historicas'!I74</f>
        <v>296887</v>
      </c>
      <c r="J94" s="150">
        <f>'Cifras Historicas'!J74</f>
        <v>530857</v>
      </c>
      <c r="K94" s="148">
        <f>K85*'Cifras Historicas'!$P$74</f>
        <v>898056.13764912321</v>
      </c>
      <c r="L94" s="148">
        <f>L85*'Cifras Historicas'!$P$74</f>
        <v>991963.96408408054</v>
      </c>
      <c r="M94" s="148">
        <f>M85*'Cifras Historicas'!$P$74</f>
        <v>1088696.8179876858</v>
      </c>
      <c r="N94" s="148">
        <f>N85*'Cifras Historicas'!$P$74</f>
        <v>1195086.9927834873</v>
      </c>
      <c r="O94" s="148">
        <f>O85*'Cifras Historicas'!$P$74</f>
        <v>1319751.8948922004</v>
      </c>
      <c r="P94" s="148">
        <f>P85*'Cifras Historicas'!$P$74</f>
        <v>1458930.0262733633</v>
      </c>
    </row>
    <row r="95" spans="1:16">
      <c r="A95" s="464" t="s">
        <v>24</v>
      </c>
      <c r="B95" s="465"/>
      <c r="C95" s="465"/>
      <c r="D95" s="465"/>
      <c r="E95" s="465"/>
      <c r="F95" s="5"/>
      <c r="G95" s="5"/>
      <c r="H95" s="5"/>
      <c r="I95" s="5"/>
      <c r="J95" s="6"/>
      <c r="K95" s="345"/>
      <c r="L95" s="345"/>
      <c r="M95" s="345"/>
      <c r="N95" s="345"/>
      <c r="O95" s="345"/>
      <c r="P95" s="345"/>
    </row>
    <row r="96" spans="1:16" ht="15.75">
      <c r="A96" s="463" t="s">
        <v>21</v>
      </c>
      <c r="B96" s="463"/>
      <c r="C96" s="463"/>
      <c r="D96" s="463"/>
      <c r="E96" s="463"/>
      <c r="F96" s="175">
        <f t="shared" ref="F96:O96" si="37">F90+F92-F93-F94</f>
        <v>3336927</v>
      </c>
      <c r="G96" s="175">
        <f t="shared" si="37"/>
        <v>-2483386</v>
      </c>
      <c r="H96" s="175">
        <f t="shared" si="37"/>
        <v>205517</v>
      </c>
      <c r="I96" s="175">
        <f t="shared" si="37"/>
        <v>1535262</v>
      </c>
      <c r="J96" s="175">
        <f t="shared" si="37"/>
        <v>3061545</v>
      </c>
      <c r="K96" s="347">
        <f t="shared" si="37"/>
        <v>2767549.3923305748</v>
      </c>
      <c r="L96" s="347">
        <f t="shared" si="37"/>
        <v>4363015.5836486006</v>
      </c>
      <c r="M96" s="347">
        <f t="shared" si="37"/>
        <v>5275055.5213636579</v>
      </c>
      <c r="N96" s="347">
        <f t="shared" si="37"/>
        <v>6822271.5308284704</v>
      </c>
      <c r="O96" s="347">
        <f t="shared" si="37"/>
        <v>9133540.3314484432</v>
      </c>
      <c r="P96" s="347">
        <f t="shared" ref="P96" si="38">P90+P92-P93-P94</f>
        <v>12338024.43186532</v>
      </c>
    </row>
    <row r="97" spans="1:16" ht="15.75">
      <c r="A97" s="432" t="s">
        <v>222</v>
      </c>
      <c r="B97" s="432"/>
      <c r="C97" s="432"/>
      <c r="D97" s="432"/>
      <c r="E97" s="432"/>
      <c r="F97" s="150">
        <f>'Cifras Historicas'!F77</f>
        <v>1602245</v>
      </c>
      <c r="G97" s="150">
        <f>'Cifras Historicas'!G77</f>
        <v>162667</v>
      </c>
      <c r="H97" s="150">
        <f>'Cifras Historicas'!H77</f>
        <v>-184402</v>
      </c>
      <c r="I97" s="150">
        <f>'Cifras Historicas'!I77</f>
        <v>300483</v>
      </c>
      <c r="J97" s="150">
        <f>'Cifras Historicas'!J77</f>
        <v>1148822</v>
      </c>
      <c r="K97" s="148">
        <f>K85*'Cifras Historicas'!$P$77</f>
        <v>393583.80259248172</v>
      </c>
      <c r="L97" s="148">
        <f>L85*'Cifras Historicas'!$P$77</f>
        <v>434740.02643191617</v>
      </c>
      <c r="M97" s="148">
        <f>M85*'Cifras Historicas'!$P$77</f>
        <v>477134.35221946414</v>
      </c>
      <c r="N97" s="148">
        <f>N85*'Cifras Historicas'!$P$77</f>
        <v>523761.11395423068</v>
      </c>
      <c r="O97" s="148">
        <f>O85*'Cifras Historicas'!$P$77</f>
        <v>578396.99267580919</v>
      </c>
      <c r="P97" s="148">
        <f>P85*'Cifras Historicas'!$P$77</f>
        <v>639393.46705001639</v>
      </c>
    </row>
    <row r="98" spans="1:16" ht="15.75">
      <c r="A98" s="463" t="s">
        <v>223</v>
      </c>
      <c r="B98" s="463"/>
      <c r="C98" s="463"/>
      <c r="D98" s="463"/>
      <c r="E98" s="463"/>
      <c r="F98" s="175">
        <f t="shared" ref="F98:O98" si="39">F96-F97</f>
        <v>1734682</v>
      </c>
      <c r="G98" s="175">
        <f t="shared" si="39"/>
        <v>-2646053</v>
      </c>
      <c r="H98" s="175">
        <f t="shared" si="39"/>
        <v>389919</v>
      </c>
      <c r="I98" s="175">
        <f t="shared" si="39"/>
        <v>1234779</v>
      </c>
      <c r="J98" s="175">
        <f t="shared" si="39"/>
        <v>1912723</v>
      </c>
      <c r="K98" s="347">
        <f t="shared" si="39"/>
        <v>2373965.5897380933</v>
      </c>
      <c r="L98" s="347">
        <f t="shared" si="39"/>
        <v>3928275.5572166843</v>
      </c>
      <c r="M98" s="347">
        <f t="shared" si="39"/>
        <v>4797921.1691441936</v>
      </c>
      <c r="N98" s="347">
        <f t="shared" si="39"/>
        <v>6298510.4168742392</v>
      </c>
      <c r="O98" s="347">
        <f t="shared" si="39"/>
        <v>8555143.338772634</v>
      </c>
      <c r="P98" s="347">
        <f t="shared" ref="P98" si="40">P96-P97</f>
        <v>11698630.964815304</v>
      </c>
    </row>
    <row r="99" spans="1:16">
      <c r="K99" s="47"/>
      <c r="L99" s="47"/>
      <c r="M99" s="47"/>
      <c r="N99" s="47"/>
      <c r="O99" s="47"/>
    </row>
    <row r="100" spans="1:16">
      <c r="F100" s="138"/>
      <c r="G100" s="138"/>
      <c r="H100" s="138"/>
      <c r="I100" s="138"/>
      <c r="J100" s="138"/>
    </row>
    <row r="101" spans="1:16" ht="15.75" thickBot="1"/>
    <row r="102" spans="1:16" ht="16.5" thickBot="1">
      <c r="A102" s="160" t="s">
        <v>224</v>
      </c>
      <c r="B102" s="161"/>
      <c r="C102" s="161"/>
      <c r="D102" s="161"/>
      <c r="E102" s="161"/>
      <c r="F102" s="170">
        <f t="shared" ref="F102:O102" si="41">F83</f>
        <v>2015</v>
      </c>
      <c r="G102" s="170">
        <f t="shared" si="41"/>
        <v>2016</v>
      </c>
      <c r="H102" s="170">
        <f t="shared" si="41"/>
        <v>2017</v>
      </c>
      <c r="I102" s="170">
        <f t="shared" si="41"/>
        <v>2018</v>
      </c>
      <c r="J102" s="171">
        <f t="shared" si="41"/>
        <v>2019</v>
      </c>
      <c r="K102" s="172">
        <f t="shared" si="41"/>
        <v>2020</v>
      </c>
      <c r="L102" s="144">
        <f t="shared" si="41"/>
        <v>2021</v>
      </c>
      <c r="M102" s="144">
        <f t="shared" si="41"/>
        <v>2022</v>
      </c>
      <c r="N102" s="144">
        <f t="shared" si="41"/>
        <v>2023</v>
      </c>
      <c r="O102" s="145">
        <f t="shared" si="41"/>
        <v>2024</v>
      </c>
      <c r="P102" s="145">
        <f t="shared" ref="P102" si="42">P83</f>
        <v>2025</v>
      </c>
    </row>
    <row r="103" spans="1:16" ht="15.75">
      <c r="A103" s="152" t="s">
        <v>225</v>
      </c>
      <c r="B103" s="2"/>
      <c r="C103" s="2"/>
      <c r="D103" s="2"/>
      <c r="E103" s="2"/>
      <c r="F103" s="148">
        <f>'Cifras Historicas'!F83</f>
        <v>3362885</v>
      </c>
      <c r="G103" s="148">
        <f>'Cifras Historicas'!G83</f>
        <v>3846401</v>
      </c>
      <c r="H103" s="148">
        <f>'Cifras Historicas'!H83</f>
        <v>4254198</v>
      </c>
      <c r="I103" s="148">
        <f>'Cifras Historicas'!I83</f>
        <v>4496319</v>
      </c>
      <c r="J103" s="148">
        <f>'Cifras Historicas'!J83</f>
        <v>4695706</v>
      </c>
      <c r="K103" s="334">
        <f>AVERAGE(F103:J103)</f>
        <v>4131101.8</v>
      </c>
      <c r="L103" s="334">
        <f t="shared" ref="L103:P103" si="43">AVERAGE(G103:K103)</f>
        <v>4284745.16</v>
      </c>
      <c r="M103" s="334">
        <f t="shared" si="43"/>
        <v>4372413.9920000006</v>
      </c>
      <c r="N103" s="334">
        <f t="shared" si="43"/>
        <v>4396057.1903999997</v>
      </c>
      <c r="O103" s="334">
        <f t="shared" si="43"/>
        <v>4376004.8284799997</v>
      </c>
      <c r="P103" s="334">
        <f t="shared" si="43"/>
        <v>4312064.594176</v>
      </c>
    </row>
    <row r="104" spans="1:16" ht="16.5" thickBot="1">
      <c r="A104" s="155" t="s">
        <v>226</v>
      </c>
      <c r="B104" s="159"/>
      <c r="C104" s="159"/>
      <c r="D104" s="159"/>
      <c r="E104" s="159"/>
      <c r="F104" s="173">
        <f>'Cifras Historicas'!F84</f>
        <v>51911</v>
      </c>
      <c r="G104" s="173">
        <f>'Cifras Historicas'!G84</f>
        <v>59385</v>
      </c>
      <c r="H104" s="173">
        <f>'Cifras Historicas'!H84</f>
        <v>65795</v>
      </c>
      <c r="I104" s="148">
        <f>'Cifras Historicas'!I84</f>
        <v>77122</v>
      </c>
      <c r="J104" s="148">
        <f>'Cifras Historicas'!J84</f>
        <v>89281</v>
      </c>
      <c r="K104" s="334">
        <f t="shared" ref="K104:P104" si="44">AVERAGE(F104:J104)</f>
        <v>68698.8</v>
      </c>
      <c r="L104" s="174">
        <f t="shared" si="44"/>
        <v>72056.36</v>
      </c>
      <c r="M104" s="174">
        <f t="shared" si="44"/>
        <v>74590.631999999998</v>
      </c>
      <c r="N104" s="174">
        <f t="shared" si="44"/>
        <v>76349.758399999992</v>
      </c>
      <c r="O104" s="174">
        <f t="shared" si="44"/>
        <v>76195.310079999996</v>
      </c>
      <c r="P104" s="174">
        <f t="shared" si="44"/>
        <v>73578.172096000009</v>
      </c>
    </row>
  </sheetData>
  <mergeCells count="85">
    <mergeCell ref="A96:E96"/>
    <mergeCell ref="A97:E97"/>
    <mergeCell ref="A98:E98"/>
    <mergeCell ref="A89:E89"/>
    <mergeCell ref="A90:E90"/>
    <mergeCell ref="A91:E91"/>
    <mergeCell ref="A92:E92"/>
    <mergeCell ref="A93:E93"/>
    <mergeCell ref="A94:E94"/>
    <mergeCell ref="A84:E84"/>
    <mergeCell ref="K84:O84"/>
    <mergeCell ref="A85:E85"/>
    <mergeCell ref="R14:AB14"/>
    <mergeCell ref="A95:E95"/>
    <mergeCell ref="A88:E88"/>
    <mergeCell ref="A74:E74"/>
    <mergeCell ref="A75:E75"/>
    <mergeCell ref="A76:E76"/>
    <mergeCell ref="A78:E78"/>
    <mergeCell ref="A86:E86"/>
    <mergeCell ref="A87:E87"/>
    <mergeCell ref="A73:E73"/>
    <mergeCell ref="A71:E71"/>
    <mergeCell ref="A60:E60"/>
    <mergeCell ref="A61:E61"/>
    <mergeCell ref="A72:E72"/>
    <mergeCell ref="A65:E65"/>
    <mergeCell ref="A66:E66"/>
    <mergeCell ref="A67:E67"/>
    <mergeCell ref="A69:E69"/>
    <mergeCell ref="A80:E80"/>
    <mergeCell ref="A83:E83"/>
    <mergeCell ref="A59:E59"/>
    <mergeCell ref="A47:E47"/>
    <mergeCell ref="A48:E48"/>
    <mergeCell ref="A49:E49"/>
    <mergeCell ref="A50:E50"/>
    <mergeCell ref="A51:E51"/>
    <mergeCell ref="A52:E52"/>
    <mergeCell ref="A54:E54"/>
    <mergeCell ref="A56:E56"/>
    <mergeCell ref="A57:E57"/>
    <mergeCell ref="A58:E58"/>
    <mergeCell ref="A62:E62"/>
    <mergeCell ref="A63:E63"/>
    <mergeCell ref="A64:E64"/>
    <mergeCell ref="R58:AA58"/>
    <mergeCell ref="A46:E46"/>
    <mergeCell ref="A35:P35"/>
    <mergeCell ref="A36:P36"/>
    <mergeCell ref="A37:P37"/>
    <mergeCell ref="A38:E38"/>
    <mergeCell ref="A39:E39"/>
    <mergeCell ref="A40:E40"/>
    <mergeCell ref="A41:E41"/>
    <mergeCell ref="A42:E42"/>
    <mergeCell ref="A43:E43"/>
    <mergeCell ref="A44:E44"/>
    <mergeCell ref="A45:E45"/>
    <mergeCell ref="A33:P34"/>
    <mergeCell ref="A26:E26"/>
    <mergeCell ref="A27:E27"/>
    <mergeCell ref="A28:E28"/>
    <mergeCell ref="A29:E29"/>
    <mergeCell ref="A30:E30"/>
    <mergeCell ref="G30:J30"/>
    <mergeCell ref="A32:O32"/>
    <mergeCell ref="K30:P30"/>
    <mergeCell ref="K25:P28"/>
    <mergeCell ref="A24:E24"/>
    <mergeCell ref="A25:E25"/>
    <mergeCell ref="A17:P18"/>
    <mergeCell ref="A19:P19"/>
    <mergeCell ref="A20:P20"/>
    <mergeCell ref="A14:P14"/>
    <mergeCell ref="A15:E15"/>
    <mergeCell ref="A21:P21"/>
    <mergeCell ref="A22:P22"/>
    <mergeCell ref="F23:J23"/>
    <mergeCell ref="K23:O23"/>
    <mergeCell ref="A1:P5"/>
    <mergeCell ref="A9:P10"/>
    <mergeCell ref="A11:P11"/>
    <mergeCell ref="A12:P12"/>
    <mergeCell ref="A13:P1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B0F0"/>
  </sheetPr>
  <dimension ref="A1:R203"/>
  <sheetViews>
    <sheetView tabSelected="1" zoomScale="80" zoomScaleNormal="80" workbookViewId="0">
      <selection activeCell="B5" sqref="B5:R5"/>
    </sheetView>
  </sheetViews>
  <sheetFormatPr baseColWidth="10" defaultRowHeight="15"/>
  <cols>
    <col min="1" max="1" width="11.42578125" style="328"/>
    <col min="2" max="5" width="11.42578125" style="1"/>
    <col min="6" max="6" width="30" style="1" customWidth="1"/>
    <col min="7" max="7" width="17.28515625" style="1" customWidth="1"/>
    <col min="8" max="8" width="16.85546875" style="1" customWidth="1"/>
    <col min="9" max="9" width="18" style="1" customWidth="1"/>
    <col min="10" max="10" width="24.42578125" style="1" customWidth="1"/>
    <col min="11" max="11" width="18.42578125" style="1" customWidth="1"/>
    <col min="12" max="12" width="15.42578125" style="1" customWidth="1"/>
    <col min="13" max="14" width="11.42578125" style="1"/>
    <col min="15" max="15" width="13.28515625" style="1" customWidth="1"/>
    <col min="16" max="16" width="11.42578125" style="1"/>
    <col min="17" max="17" width="15.85546875" style="1" customWidth="1"/>
    <col min="18" max="16384" width="11.42578125" style="1"/>
  </cols>
  <sheetData>
    <row r="1" spans="2:18">
      <c r="B1" s="711" t="s">
        <v>179</v>
      </c>
      <c r="C1" s="712"/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712"/>
      <c r="O1" s="712"/>
      <c r="P1" s="712"/>
      <c r="Q1" s="712"/>
      <c r="R1" s="713"/>
    </row>
    <row r="2" spans="2:18" ht="15.75" thickBot="1">
      <c r="B2" s="714"/>
      <c r="C2" s="715"/>
      <c r="D2" s="715"/>
      <c r="E2" s="715"/>
      <c r="F2" s="715"/>
      <c r="G2" s="715"/>
      <c r="H2" s="715"/>
      <c r="I2" s="715"/>
      <c r="J2" s="715"/>
      <c r="K2" s="715"/>
      <c r="L2" s="715"/>
      <c r="M2" s="715"/>
      <c r="N2" s="715"/>
      <c r="O2" s="715"/>
      <c r="P2" s="715"/>
      <c r="Q2" s="715"/>
      <c r="R2" s="716"/>
    </row>
    <row r="3" spans="2:18" ht="23.25">
      <c r="B3" s="469" t="s">
        <v>268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606"/>
    </row>
    <row r="4" spans="2:18">
      <c r="B4" s="459" t="s">
        <v>41</v>
      </c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90"/>
    </row>
    <row r="5" spans="2:18">
      <c r="B5" s="459" t="s">
        <v>310</v>
      </c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90"/>
    </row>
    <row r="6" spans="2:18" ht="15.75" thickBot="1">
      <c r="B6" s="461" t="s">
        <v>2</v>
      </c>
      <c r="C6" s="462"/>
      <c r="D6" s="462"/>
      <c r="E6" s="462"/>
      <c r="F6" s="462"/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521"/>
    </row>
    <row r="7" spans="2:18" ht="20.25" thickBot="1">
      <c r="B7" s="754" t="s">
        <v>52</v>
      </c>
      <c r="C7" s="755"/>
      <c r="D7" s="755"/>
      <c r="E7" s="755"/>
      <c r="F7" s="755"/>
      <c r="G7" s="756"/>
      <c r="H7" s="52"/>
      <c r="I7" s="52"/>
      <c r="J7" s="52"/>
      <c r="K7" s="52"/>
      <c r="L7" s="52"/>
      <c r="M7" s="52"/>
      <c r="N7" s="52"/>
      <c r="O7" s="52"/>
      <c r="P7" s="52"/>
    </row>
    <row r="8" spans="2:18" ht="20.25" thickBot="1">
      <c r="B8" s="626" t="s">
        <v>43</v>
      </c>
      <c r="C8" s="627"/>
      <c r="D8" s="627"/>
      <c r="E8" s="627"/>
      <c r="F8" s="627"/>
      <c r="G8" s="628"/>
      <c r="H8" s="52"/>
      <c r="I8" s="52"/>
      <c r="J8" s="754" t="s">
        <v>90</v>
      </c>
      <c r="K8" s="755"/>
      <c r="L8" s="755"/>
      <c r="M8" s="755"/>
      <c r="N8" s="755"/>
      <c r="O8" s="756"/>
      <c r="P8" s="52"/>
    </row>
    <row r="9" spans="2:18" ht="45">
      <c r="B9" s="757" t="s">
        <v>91</v>
      </c>
      <c r="C9" s="758"/>
      <c r="D9" s="758"/>
      <c r="E9" s="758"/>
      <c r="F9" s="759"/>
      <c r="G9" s="290">
        <f>'Valoración Sin Estrategia'!G9</f>
        <v>2019</v>
      </c>
      <c r="H9" s="52"/>
      <c r="I9" s="52"/>
      <c r="J9" s="291" t="s">
        <v>53</v>
      </c>
      <c r="K9" s="292" t="s">
        <v>57</v>
      </c>
      <c r="L9" s="292" t="s">
        <v>44</v>
      </c>
      <c r="M9" s="292" t="s">
        <v>45</v>
      </c>
      <c r="N9" s="292" t="s">
        <v>46</v>
      </c>
      <c r="O9" s="293" t="s">
        <v>47</v>
      </c>
      <c r="P9" s="56"/>
    </row>
    <row r="10" spans="2:18" ht="18">
      <c r="B10" s="621" t="s">
        <v>54</v>
      </c>
      <c r="C10" s="621"/>
      <c r="D10" s="621"/>
      <c r="E10" s="621"/>
      <c r="F10" s="621"/>
      <c r="G10" s="339">
        <f>AVERAGE(L10:L19)</f>
        <v>4.35069572829615E-2</v>
      </c>
      <c r="H10" s="614" t="s">
        <v>62</v>
      </c>
      <c r="I10" s="61"/>
      <c r="J10" s="215">
        <v>2010</v>
      </c>
      <c r="K10" s="51">
        <v>0.14821092278719414</v>
      </c>
      <c r="L10" s="51">
        <v>8.4629338803557719E-2</v>
      </c>
      <c r="M10" s="51">
        <v>1.6400399999999999E-2</v>
      </c>
      <c r="N10" s="51">
        <v>3.1699999999999999E-2</v>
      </c>
      <c r="O10" s="51">
        <v>1.72E-2</v>
      </c>
      <c r="P10" s="57"/>
      <c r="Q10" s="21"/>
    </row>
    <row r="11" spans="2:18">
      <c r="B11" s="625" t="s">
        <v>48</v>
      </c>
      <c r="C11" s="625"/>
      <c r="D11" s="625"/>
      <c r="E11" s="625"/>
      <c r="F11" s="625"/>
      <c r="G11" s="339">
        <f>AVERAGE(M10:M19)</f>
        <v>1.8196170000000001E-2</v>
      </c>
      <c r="H11" s="614"/>
      <c r="I11" s="61"/>
      <c r="J11" s="215">
        <v>2011</v>
      </c>
      <c r="K11" s="51">
        <v>2.09837473362805E-2</v>
      </c>
      <c r="L11" s="51">
        <v>0.16035334999461354</v>
      </c>
      <c r="M11" s="51">
        <v>3.1568399999999996E-2</v>
      </c>
      <c r="N11" s="51">
        <v>3.73E-2</v>
      </c>
      <c r="O11" s="51">
        <v>1.95E-2</v>
      </c>
      <c r="P11" s="57"/>
    </row>
    <row r="12" spans="2:18">
      <c r="B12" s="621" t="s">
        <v>49</v>
      </c>
      <c r="C12" s="621"/>
      <c r="D12" s="621"/>
      <c r="E12" s="621"/>
      <c r="F12" s="621"/>
      <c r="G12" s="340">
        <f>((1+G10)/(1+G11))-1</f>
        <v>2.4858458545332862E-2</v>
      </c>
      <c r="H12" s="614"/>
      <c r="I12" s="61"/>
      <c r="J12" s="215">
        <v>2012</v>
      </c>
      <c r="K12" s="51">
        <v>0.15890585241730293</v>
      </c>
      <c r="L12" s="51">
        <v>2.971571978018946E-2</v>
      </c>
      <c r="M12" s="51">
        <v>2.0693400000000001E-2</v>
      </c>
      <c r="N12" s="51">
        <v>2.4400000000000002E-2</v>
      </c>
      <c r="O12" s="51">
        <v>1.12E-2</v>
      </c>
      <c r="P12" s="57"/>
    </row>
    <row r="13" spans="2:18">
      <c r="B13" s="54"/>
      <c r="C13" s="52"/>
      <c r="D13" s="52"/>
      <c r="E13" s="52"/>
      <c r="F13" s="52"/>
      <c r="G13" s="336"/>
      <c r="H13" s="614"/>
      <c r="I13" s="61"/>
      <c r="J13" s="215">
        <v>2013</v>
      </c>
      <c r="K13" s="51">
        <v>0.32145085858125483</v>
      </c>
      <c r="L13" s="51">
        <v>-9.104568794347262E-2</v>
      </c>
      <c r="M13" s="51">
        <v>1.4648300000000001E-2</v>
      </c>
      <c r="N13" s="51">
        <v>1.9400000000000001E-2</v>
      </c>
      <c r="O13" s="51">
        <v>1.66E-2</v>
      </c>
      <c r="P13" s="57"/>
    </row>
    <row r="14" spans="2:18">
      <c r="B14" s="625" t="s">
        <v>50</v>
      </c>
      <c r="C14" s="625"/>
      <c r="D14" s="625"/>
      <c r="E14" s="625"/>
      <c r="F14" s="625"/>
      <c r="G14" s="339">
        <f>AVERAGE(N10:N19)</f>
        <v>3.8529999999999995E-2</v>
      </c>
      <c r="H14" s="614"/>
      <c r="I14" s="61"/>
      <c r="J14" s="215">
        <v>2014</v>
      </c>
      <c r="K14" s="51">
        <v>0.13524421649462237</v>
      </c>
      <c r="L14" s="51">
        <v>0.10746180452004755</v>
      </c>
      <c r="M14" s="51">
        <v>1.6222199999999999E-2</v>
      </c>
      <c r="N14" s="51">
        <v>3.6600000000000001E-2</v>
      </c>
      <c r="O14" s="51">
        <v>1.9599999999999999E-2</v>
      </c>
      <c r="P14" s="57"/>
    </row>
    <row r="15" spans="2:18">
      <c r="B15" s="621" t="s">
        <v>55</v>
      </c>
      <c r="C15" s="621"/>
      <c r="D15" s="621"/>
      <c r="E15" s="621"/>
      <c r="F15" s="621"/>
      <c r="G15" s="340">
        <f>((1+G14)*(1+G12))-1</f>
        <v>6.4346254953084436E-2</v>
      </c>
      <c r="H15" s="614"/>
      <c r="I15" s="61"/>
      <c r="J15" s="215">
        <v>2015</v>
      </c>
      <c r="K15" s="51">
        <v>1.3788916411676138E-2</v>
      </c>
      <c r="L15" s="51">
        <v>1.2842996709792224E-2</v>
      </c>
      <c r="M15" s="51">
        <v>1.1862999999999999E-3</v>
      </c>
      <c r="N15" s="51">
        <v>6.7699999999999996E-2</v>
      </c>
      <c r="O15" s="51">
        <v>3.2099999999999997E-2</v>
      </c>
      <c r="P15" s="57"/>
    </row>
    <row r="16" spans="2:18">
      <c r="B16" s="54"/>
      <c r="C16" s="52"/>
      <c r="D16" s="52"/>
      <c r="E16" s="52"/>
      <c r="F16" s="52"/>
      <c r="G16" s="336"/>
      <c r="H16" s="52"/>
      <c r="I16" s="52"/>
      <c r="J16" s="215">
        <v>2016</v>
      </c>
      <c r="K16" s="51">
        <v>0.11773080874798171</v>
      </c>
      <c r="L16" s="51">
        <v>6.9055046987477921E-3</v>
      </c>
      <c r="M16" s="51">
        <v>1.26158E-2</v>
      </c>
      <c r="N16" s="51">
        <v>5.7500000000000002E-2</v>
      </c>
      <c r="O16" s="51">
        <v>2.2700000000000001E-2</v>
      </c>
      <c r="P16" s="57"/>
    </row>
    <row r="17" spans="2:16">
      <c r="B17" s="620" t="s">
        <v>51</v>
      </c>
      <c r="C17" s="620"/>
      <c r="D17" s="620"/>
      <c r="E17" s="620"/>
      <c r="F17" s="620"/>
      <c r="G17" s="337">
        <f>AVERAGE(O10:O19)</f>
        <v>1.9550000000000001E-2</v>
      </c>
      <c r="H17" s="615" t="s">
        <v>63</v>
      </c>
      <c r="I17" s="52"/>
      <c r="J17" s="215">
        <v>2017</v>
      </c>
      <c r="K17" s="51">
        <v>0.2160548143449928</v>
      </c>
      <c r="L17" s="51">
        <v>2.8017162707789457E-2</v>
      </c>
      <c r="M17" s="51">
        <v>2.1301100000000003E-2</v>
      </c>
      <c r="N17" s="51">
        <v>4.0899999999999999E-2</v>
      </c>
      <c r="O17" s="51">
        <v>1.7399999999999999E-2</v>
      </c>
      <c r="P17" s="57"/>
    </row>
    <row r="18" spans="2:16">
      <c r="B18" s="617"/>
      <c r="C18" s="618"/>
      <c r="D18" s="618"/>
      <c r="E18" s="618"/>
      <c r="F18" s="618"/>
      <c r="G18" s="619"/>
      <c r="H18" s="615"/>
      <c r="I18" s="52"/>
      <c r="J18" s="215">
        <v>2018</v>
      </c>
      <c r="K18" s="51">
        <v>-4.2268692890885438E-2</v>
      </c>
      <c r="L18" s="51">
        <v>-1.6692385713402633E-4</v>
      </c>
      <c r="M18" s="51">
        <v>2.4425800000000001E-2</v>
      </c>
      <c r="N18" s="51">
        <v>3.1800000000000002E-2</v>
      </c>
      <c r="O18" s="51">
        <v>2.3099999999999999E-2</v>
      </c>
      <c r="P18" s="57"/>
    </row>
    <row r="19" spans="2:16">
      <c r="B19" s="54"/>
      <c r="C19" s="52"/>
      <c r="D19" s="52"/>
      <c r="E19" s="52"/>
      <c r="F19" s="52"/>
      <c r="G19" s="52"/>
      <c r="H19" s="52"/>
      <c r="I19" s="52"/>
      <c r="J19" s="215">
        <v>2019</v>
      </c>
      <c r="K19" s="51">
        <v>0.31223647206653782</v>
      </c>
      <c r="L19" s="51">
        <v>9.6356307415483927E-2</v>
      </c>
      <c r="M19" s="51">
        <v>2.29E-2</v>
      </c>
      <c r="N19" s="51">
        <v>3.7999999999999999E-2</v>
      </c>
      <c r="O19" s="51">
        <v>1.61E-2</v>
      </c>
      <c r="P19" s="57"/>
    </row>
    <row r="20" spans="2:16" ht="18">
      <c r="B20" s="611" t="s">
        <v>59</v>
      </c>
      <c r="C20" s="611"/>
      <c r="D20" s="611"/>
      <c r="E20" s="611"/>
      <c r="F20" s="611"/>
      <c r="G20" s="333">
        <f>AVERAGE(K10:K19)</f>
        <v>0.14023379162969576</v>
      </c>
      <c r="H20" s="616" t="s">
        <v>61</v>
      </c>
      <c r="J20" s="229"/>
      <c r="K20" s="230"/>
      <c r="L20" s="230"/>
      <c r="M20" s="230"/>
      <c r="N20" s="230"/>
      <c r="O20" s="230"/>
      <c r="P20" s="57"/>
    </row>
    <row r="21" spans="2:16">
      <c r="B21" s="612" t="s">
        <v>48</v>
      </c>
      <c r="C21" s="612"/>
      <c r="D21" s="612"/>
      <c r="E21" s="612"/>
      <c r="F21" s="612"/>
      <c r="G21" s="339">
        <f>G11</f>
        <v>1.8196170000000001E-2</v>
      </c>
      <c r="H21" s="616"/>
      <c r="J21" s="52"/>
    </row>
    <row r="22" spans="2:16">
      <c r="B22" s="613" t="s">
        <v>60</v>
      </c>
      <c r="C22" s="613"/>
      <c r="D22" s="613"/>
      <c r="E22" s="613"/>
      <c r="F22" s="613"/>
      <c r="G22" s="340">
        <f>((1+G20)/(1+G21))-1</f>
        <v>0.11985668894206891</v>
      </c>
      <c r="H22" s="616"/>
    </row>
    <row r="23" spans="2:16">
      <c r="G23" s="328"/>
      <c r="H23" s="616"/>
    </row>
    <row r="24" spans="2:16">
      <c r="B24" s="612" t="s">
        <v>50</v>
      </c>
      <c r="C24" s="612"/>
      <c r="D24" s="612"/>
      <c r="E24" s="612"/>
      <c r="F24" s="612"/>
      <c r="G24" s="339">
        <f>G14</f>
        <v>3.8529999999999995E-2</v>
      </c>
      <c r="H24" s="616"/>
    </row>
    <row r="25" spans="2:16">
      <c r="B25" s="613" t="s">
        <v>58</v>
      </c>
      <c r="C25" s="613"/>
      <c r="D25" s="613"/>
      <c r="E25" s="613"/>
      <c r="F25" s="613"/>
      <c r="G25" s="341">
        <f>((1+G24)*(1+G22))-1</f>
        <v>0.16300476716700674</v>
      </c>
      <c r="H25" s="616"/>
    </row>
    <row r="27" spans="2:16" ht="18">
      <c r="B27" s="610" t="s">
        <v>56</v>
      </c>
      <c r="C27" s="610"/>
      <c r="D27" s="610"/>
      <c r="E27" s="610"/>
      <c r="F27" s="610"/>
      <c r="G27" s="338">
        <f>G25-G15</f>
        <v>9.86585122139223E-2</v>
      </c>
    </row>
    <row r="30" spans="2:16">
      <c r="B30" s="463" t="s">
        <v>64</v>
      </c>
      <c r="C30" s="463"/>
      <c r="D30" s="463"/>
      <c r="E30" s="463"/>
      <c r="F30" s="463"/>
      <c r="G30" s="343">
        <v>0.67</v>
      </c>
      <c r="H30" s="64" t="s">
        <v>73</v>
      </c>
    </row>
    <row r="32" spans="2:16">
      <c r="G32" s="25">
        <f>'Estrategias Operativas'!E10</f>
        <v>2020</v>
      </c>
      <c r="H32" s="25">
        <f>'Estrategias Operativas'!F10</f>
        <v>2021</v>
      </c>
      <c r="I32" s="25">
        <f>'Estrategias Operativas'!G10</f>
        <v>2022</v>
      </c>
      <c r="J32" s="25">
        <f>'Estrategias Operativas'!H10</f>
        <v>2023</v>
      </c>
      <c r="K32" s="25">
        <f>'Estrategias Operativas'!I10</f>
        <v>2024</v>
      </c>
      <c r="L32" s="25">
        <f>'Estrategias Operativas'!J10</f>
        <v>2025</v>
      </c>
    </row>
    <row r="33" spans="2:12">
      <c r="B33" s="760" t="s">
        <v>66</v>
      </c>
      <c r="C33" s="760"/>
      <c r="D33" s="760"/>
      <c r="E33" s="760"/>
      <c r="F33" s="760"/>
      <c r="G33" s="12">
        <f>'Estados Finan + Estrategia'!J57+'Estados Finan + Estrategia'!J64</f>
        <v>1950000</v>
      </c>
      <c r="H33" s="12">
        <f>'Estados Finan + Estrategia'!K57+'Estados Finan + Estrategia'!K64</f>
        <v>1852604.3250000002</v>
      </c>
      <c r="I33" s="12">
        <f>'Estados Finan + Estrategia'!L57+'Estados Finan + Estrategia'!L64</f>
        <v>2046327.2317440817</v>
      </c>
      <c r="J33" s="12">
        <f>'Estados Finan + Estrategia'!M57+'Estados Finan + Estrategia'!M64</f>
        <v>2245877.9012384536</v>
      </c>
      <c r="K33" s="12">
        <f>'Estados Finan + Estrategia'!N57+'Estados Finan + Estrategia'!N64</f>
        <v>2465350.7044422282</v>
      </c>
      <c r="L33" s="346">
        <f>'Estados Finan + Estrategia'!O57+'Estados Finan + Estrategia'!O64</f>
        <v>2722522.5305007668</v>
      </c>
    </row>
    <row r="34" spans="2:12">
      <c r="B34" s="760" t="s">
        <v>65</v>
      </c>
      <c r="C34" s="760"/>
      <c r="D34" s="760"/>
      <c r="E34" s="760"/>
      <c r="F34" s="760"/>
      <c r="G34" s="12">
        <f>'Estados Finan + Estrategia'!J76</f>
        <v>12216434</v>
      </c>
      <c r="H34" s="346">
        <f>'Estados Finan + Estrategia'!K76</f>
        <v>11606265.879218999</v>
      </c>
      <c r="I34" s="346">
        <f>'Estados Finan + Estrategia'!L76</f>
        <v>12819908.496925272</v>
      </c>
      <c r="J34" s="346">
        <f>'Estados Finan + Estrategia'!M76</f>
        <v>14070061.103865687</v>
      </c>
      <c r="K34" s="346">
        <f>'Estados Finan + Estrategia'!N76</f>
        <v>15445022.650088197</v>
      </c>
      <c r="L34" s="346">
        <f>'Estados Finan + Estrategia'!O76</f>
        <v>17056162.465320826</v>
      </c>
    </row>
    <row r="35" spans="2:12">
      <c r="B35" s="760" t="s">
        <v>67</v>
      </c>
      <c r="C35" s="760"/>
      <c r="D35" s="760"/>
      <c r="E35" s="760"/>
      <c r="F35" s="760"/>
      <c r="G35" s="62">
        <f>$G$30*(1+(1-('Estados Finan + Estrategia'!K97/'Estados Finan + Estrategia'!K96))*(G33/G34))</f>
        <v>0.76173688732026656</v>
      </c>
      <c r="H35" s="342">
        <f>$G$30*(1+(1-('Estados Finan + Estrategia'!L97/'Estados Finan + Estrategia'!L96))*(H33/H34))</f>
        <v>0.76628976826968465</v>
      </c>
      <c r="I35" s="342">
        <f>$G$30*(1+(1-('Estados Finan + Estrategia'!M97/'Estados Finan + Estrategia'!M96))*(I33/I34))</f>
        <v>0.76727271418938914</v>
      </c>
      <c r="J35" s="342">
        <f>$G$30*(1+(1-('Estados Finan + Estrategia'!N97/'Estados Finan + Estrategia'!N96))*(J33/J34))</f>
        <v>0.768735609712898</v>
      </c>
      <c r="K35" s="342">
        <f>$G$30*(1+(1-('Estados Finan + Estrategia'!O97/'Estados Finan + Estrategia'!O96))*(K33/K34))</f>
        <v>0.770173558257088</v>
      </c>
      <c r="L35" s="342">
        <f>$G$30*(1+(1-('Estados Finan + Estrategia'!P97/'Estados Finan + Estrategia'!P96))*(L33/L34))</f>
        <v>0.77140383418349845</v>
      </c>
    </row>
    <row r="36" spans="2:12">
      <c r="L36" s="328"/>
    </row>
    <row r="37" spans="2:12" ht="18">
      <c r="B37" s="761" t="s">
        <v>68</v>
      </c>
      <c r="C37" s="761"/>
      <c r="D37" s="761"/>
      <c r="E37" s="761"/>
      <c r="F37" s="761"/>
      <c r="G37" s="331">
        <f>$G$15+($G$25-$G$15)*G35+$G$17</f>
        <v>0.15904808295456613</v>
      </c>
      <c r="H37" s="331">
        <f t="shared" ref="H37:K37" si="0">$G$15+($G$25-$G$15)*H35+$G$17</f>
        <v>0.15949726341532283</v>
      </c>
      <c r="I37" s="331">
        <f t="shared" si="0"/>
        <v>0.15959423939734763</v>
      </c>
      <c r="J37" s="331">
        <f t="shared" si="0"/>
        <v>0.15973856649322141</v>
      </c>
      <c r="K37" s="331">
        <f t="shared" si="0"/>
        <v>0.15988043235723137</v>
      </c>
      <c r="L37" s="331">
        <f>$G$15+($G$25-$G$15)*L35+$G$17</f>
        <v>0.16000180954974363</v>
      </c>
    </row>
    <row r="38" spans="2:12">
      <c r="L38" s="328"/>
    </row>
    <row r="39" spans="2:12">
      <c r="L39" s="328"/>
    </row>
    <row r="40" spans="2:12">
      <c r="B40" s="769" t="s">
        <v>70</v>
      </c>
      <c r="C40" s="770"/>
      <c r="D40" s="770"/>
      <c r="E40" s="770"/>
      <c r="F40" s="771"/>
      <c r="G40" s="329">
        <f>G33/(G33+G34)</f>
        <v>0.13764931951117693</v>
      </c>
      <c r="H40" s="329">
        <f t="shared" ref="H40:K40" si="1">H33/(H33+H34)</f>
        <v>0.13764931951117695</v>
      </c>
      <c r="I40" s="329">
        <f t="shared" si="1"/>
        <v>0.13764931951117693</v>
      </c>
      <c r="J40" s="329">
        <f t="shared" si="1"/>
        <v>0.1376493195111769</v>
      </c>
      <c r="K40" s="329">
        <f t="shared" si="1"/>
        <v>0.13764931951117693</v>
      </c>
      <c r="L40" s="329">
        <f>L33/(L33+L34)</f>
        <v>0.1376493195111769</v>
      </c>
    </row>
    <row r="41" spans="2:12">
      <c r="B41" s="769" t="s">
        <v>69</v>
      </c>
      <c r="C41" s="770"/>
      <c r="D41" s="770"/>
      <c r="E41" s="770"/>
      <c r="F41" s="771"/>
      <c r="G41" s="329">
        <f>G34/(G33+G34)</f>
        <v>0.86235068048882313</v>
      </c>
      <c r="H41" s="329">
        <f t="shared" ref="H41:K41" si="2">H34/(H33+H34)</f>
        <v>0.86235068048882313</v>
      </c>
      <c r="I41" s="329">
        <f t="shared" si="2"/>
        <v>0.86235068048882313</v>
      </c>
      <c r="J41" s="329">
        <f t="shared" si="2"/>
        <v>0.86235068048882313</v>
      </c>
      <c r="K41" s="329">
        <f t="shared" si="2"/>
        <v>0.86235068048882313</v>
      </c>
      <c r="L41" s="329">
        <f>L34/(L33+L34)</f>
        <v>0.86235068048882313</v>
      </c>
    </row>
    <row r="42" spans="2:12">
      <c r="B42" s="772" t="s">
        <v>72</v>
      </c>
      <c r="C42" s="773"/>
      <c r="D42" s="773"/>
      <c r="E42" s="773"/>
      <c r="F42" s="774"/>
      <c r="G42" s="331">
        <f>SUM(G40:G41)</f>
        <v>1</v>
      </c>
      <c r="H42" s="331">
        <f t="shared" ref="H42:K42" si="3">SUM(H40:H41)</f>
        <v>1</v>
      </c>
      <c r="I42" s="331">
        <f t="shared" si="3"/>
        <v>1</v>
      </c>
      <c r="J42" s="331">
        <f t="shared" si="3"/>
        <v>1</v>
      </c>
      <c r="K42" s="331">
        <f t="shared" si="3"/>
        <v>1</v>
      </c>
      <c r="L42" s="331">
        <f>SUM(L40:L41)</f>
        <v>1</v>
      </c>
    </row>
    <row r="43" spans="2:12">
      <c r="L43" s="328"/>
    </row>
    <row r="44" spans="2:12">
      <c r="B44" s="760" t="s">
        <v>71</v>
      </c>
      <c r="C44" s="760"/>
      <c r="D44" s="760"/>
      <c r="E44" s="760"/>
      <c r="F44" s="760"/>
      <c r="G44" s="16">
        <f>'Estados Finan + Estrategia'!X16*(1-('Estados Finan + Estrategia'!K97/'Estados Finan + Estrategia'!K96))</f>
        <v>7.9774113682474529E-2</v>
      </c>
      <c r="H44" s="330">
        <f>'Estados Finan + Estrategia'!Y16*(1-('Estados Finan + Estrategia'!L97/'Estados Finan + Estrategia'!L96))</f>
        <v>7.5089849025450572E-2</v>
      </c>
      <c r="I44" s="330">
        <f>'Estados Finan + Estrategia'!Z16*(1-('Estados Finan + Estrategia'!M97/'Estados Finan + Estrategia'!M96))</f>
        <v>6.9325820369301683E-2</v>
      </c>
      <c r="J44" s="330">
        <f>'Estados Finan + Estrategia'!AA16*(1-('Estados Finan + Estrategia'!N97/'Estados Finan + Estrategia'!N96))</f>
        <v>5.795654543255279E-2</v>
      </c>
      <c r="K44" s="330">
        <f>'Estados Finan + Estrategia'!AB16*(1-('Estados Finan + Estrategia'!O97/'Estados Finan + Estrategia'!O96))</f>
        <v>5.030947213951012E-2</v>
      </c>
      <c r="L44" s="330">
        <f>'Estados Finan + Estrategia'!AC16*(1-('Estados Finan + Estrategia'!P97/'Estados Finan + Estrategia'!P96))</f>
        <v>4.1777285357148974E-2</v>
      </c>
    </row>
    <row r="45" spans="2:12">
      <c r="G45" s="21"/>
      <c r="H45" s="21"/>
      <c r="I45" s="21"/>
      <c r="J45" s="21"/>
      <c r="K45" s="21"/>
      <c r="L45" s="21"/>
    </row>
    <row r="46" spans="2:12">
      <c r="B46" s="760" t="s">
        <v>74</v>
      </c>
      <c r="C46" s="760"/>
      <c r="D46" s="760"/>
      <c r="E46" s="760"/>
      <c r="F46" s="760"/>
      <c r="G46" s="329">
        <f>G40*G44</f>
        <v>1.0980852462999888E-2</v>
      </c>
      <c r="H46" s="329">
        <f t="shared" ref="H46:K46" si="4">H40*H44</f>
        <v>1.0336066620550284E-2</v>
      </c>
      <c r="I46" s="329">
        <f t="shared" si="4"/>
        <v>9.5426519983884649E-3</v>
      </c>
      <c r="J46" s="329">
        <f t="shared" si="4"/>
        <v>7.9776790400094989E-3</v>
      </c>
      <c r="K46" s="329">
        <f t="shared" si="4"/>
        <v>6.9250646049700826E-3</v>
      </c>
      <c r="L46" s="329">
        <f t="shared" ref="L46" si="5">L40*L44</f>
        <v>5.7506149004358112E-3</v>
      </c>
    </row>
    <row r="47" spans="2:12">
      <c r="B47" s="760" t="s">
        <v>75</v>
      </c>
      <c r="C47" s="760"/>
      <c r="D47" s="760"/>
      <c r="E47" s="760"/>
      <c r="F47" s="760"/>
      <c r="G47" s="329">
        <f>G41*G37</f>
        <v>0.13715522256631288</v>
      </c>
      <c r="H47" s="329">
        <f t="shared" ref="H47:K47" si="6">H41*H37</f>
        <v>0.13754257364230871</v>
      </c>
      <c r="I47" s="329">
        <f t="shared" si="6"/>
        <v>0.13762620094639888</v>
      </c>
      <c r="J47" s="329">
        <f t="shared" si="6"/>
        <v>0.13775066151573861</v>
      </c>
      <c r="K47" s="329">
        <f t="shared" si="6"/>
        <v>0.13787299964010574</v>
      </c>
      <c r="L47" s="329">
        <f t="shared" ref="L47" si="7">L41*L37</f>
        <v>0.13797766934466449</v>
      </c>
    </row>
    <row r="48" spans="2:12">
      <c r="G48" s="328"/>
      <c r="H48" s="328"/>
      <c r="I48" s="328"/>
      <c r="J48" s="328"/>
      <c r="K48" s="328"/>
      <c r="L48" s="328"/>
    </row>
    <row r="49" spans="2:18">
      <c r="B49" s="762" t="s">
        <v>76</v>
      </c>
      <c r="C49" s="762"/>
      <c r="D49" s="762"/>
      <c r="E49" s="762"/>
      <c r="F49" s="762"/>
      <c r="G49" s="330">
        <f>SUM(G46:G47)</f>
        <v>0.14813607502931275</v>
      </c>
      <c r="H49" s="330">
        <f t="shared" ref="H49:K49" si="8">SUM(H46:H47)</f>
        <v>0.14787864026285899</v>
      </c>
      <c r="I49" s="330">
        <f t="shared" si="8"/>
        <v>0.14716885294478735</v>
      </c>
      <c r="J49" s="330">
        <f t="shared" si="8"/>
        <v>0.14572834055574813</v>
      </c>
      <c r="K49" s="330">
        <f t="shared" si="8"/>
        <v>0.14479806424507582</v>
      </c>
      <c r="L49" s="330">
        <f t="shared" ref="L49" si="9">SUM(L46:L47)</f>
        <v>0.14372828424510031</v>
      </c>
    </row>
    <row r="50" spans="2:18" ht="15.75" thickBot="1">
      <c r="B50" s="113"/>
      <c r="C50" s="113"/>
      <c r="D50" s="113"/>
      <c r="E50" s="113"/>
      <c r="F50" s="113"/>
      <c r="G50" s="69"/>
      <c r="H50" s="69"/>
      <c r="I50" s="69"/>
      <c r="J50" s="69"/>
      <c r="K50" s="69"/>
    </row>
    <row r="51" spans="2:18" ht="15" customHeight="1">
      <c r="B51" s="711" t="s">
        <v>180</v>
      </c>
      <c r="C51" s="712"/>
      <c r="D51" s="712"/>
      <c r="E51" s="712"/>
      <c r="F51" s="712"/>
      <c r="G51" s="712"/>
      <c r="H51" s="712"/>
      <c r="I51" s="712"/>
      <c r="J51" s="712"/>
      <c r="K51" s="713"/>
      <c r="L51" s="70"/>
      <c r="M51" s="70"/>
      <c r="N51" s="70"/>
      <c r="O51" s="70"/>
      <c r="P51" s="70"/>
      <c r="Q51" s="70"/>
      <c r="R51" s="70"/>
    </row>
    <row r="52" spans="2:18" ht="15.75" customHeight="1" thickBot="1">
      <c r="B52" s="714"/>
      <c r="C52" s="715"/>
      <c r="D52" s="715"/>
      <c r="E52" s="715"/>
      <c r="F52" s="715"/>
      <c r="G52" s="715"/>
      <c r="H52" s="715"/>
      <c r="I52" s="715"/>
      <c r="J52" s="715"/>
      <c r="K52" s="716"/>
      <c r="L52" s="70"/>
      <c r="M52" s="70"/>
      <c r="N52" s="70"/>
      <c r="O52" s="70"/>
      <c r="P52" s="70"/>
      <c r="Q52" s="70"/>
      <c r="R52" s="70"/>
    </row>
    <row r="53" spans="2:18" ht="15.75" thickBot="1"/>
    <row r="54" spans="2:18">
      <c r="B54" s="71"/>
      <c r="C54" s="763"/>
      <c r="D54" s="764"/>
      <c r="E54" s="764"/>
      <c r="F54" s="765"/>
      <c r="G54" s="77">
        <f t="shared" ref="G54:L54" si="10">G32</f>
        <v>2020</v>
      </c>
      <c r="H54" s="77">
        <f t="shared" si="10"/>
        <v>2021</v>
      </c>
      <c r="I54" s="77">
        <f t="shared" si="10"/>
        <v>2022</v>
      </c>
      <c r="J54" s="77">
        <f t="shared" si="10"/>
        <v>2023</v>
      </c>
      <c r="K54" s="77">
        <f t="shared" si="10"/>
        <v>2024</v>
      </c>
      <c r="L54" s="77">
        <f t="shared" si="10"/>
        <v>2025</v>
      </c>
    </row>
    <row r="55" spans="2:18">
      <c r="B55" s="72"/>
      <c r="C55" s="766" t="s">
        <v>77</v>
      </c>
      <c r="D55" s="767"/>
      <c r="E55" s="767"/>
      <c r="F55" s="768"/>
      <c r="G55" s="118">
        <f>'Estados Finan + Estrategia'!K98</f>
        <v>2373965.5897380933</v>
      </c>
      <c r="H55" s="118">
        <f>'Estados Finan + Estrategia'!L98</f>
        <v>3928275.5572166843</v>
      </c>
      <c r="I55" s="118">
        <f>'Estados Finan + Estrategia'!M98</f>
        <v>4797921.1691441936</v>
      </c>
      <c r="J55" s="118">
        <f>'Estados Finan + Estrategia'!N98</f>
        <v>6298510.4168742392</v>
      </c>
      <c r="K55" s="118">
        <f>'Estados Finan + Estrategia'!O98</f>
        <v>8555143.338772634</v>
      </c>
      <c r="L55" s="118">
        <f>'Estados Finan + Estrategia'!P98</f>
        <v>11698630.964815304</v>
      </c>
    </row>
    <row r="56" spans="2:18">
      <c r="B56" s="73"/>
      <c r="C56" s="766" t="s">
        <v>78</v>
      </c>
      <c r="D56" s="767"/>
      <c r="E56" s="767"/>
      <c r="F56" s="768"/>
      <c r="G56" s="119">
        <f>'Estados Finan + Estrategia'!K97</f>
        <v>393583.80259248172</v>
      </c>
      <c r="H56" s="119">
        <f>'Estados Finan + Estrategia'!L97</f>
        <v>434740.02643191617</v>
      </c>
      <c r="I56" s="119">
        <f>'Estados Finan + Estrategia'!M97</f>
        <v>477134.35221946414</v>
      </c>
      <c r="J56" s="119">
        <f>'Estados Finan + Estrategia'!N97</f>
        <v>523761.11395423068</v>
      </c>
      <c r="K56" s="119">
        <f>'Estados Finan + Estrategia'!O97</f>
        <v>578396.99267580919</v>
      </c>
      <c r="L56" s="119">
        <f>'Estados Finan + Estrategia'!P97</f>
        <v>639393.46705001639</v>
      </c>
    </row>
    <row r="57" spans="2:18" ht="15.75" thickBot="1">
      <c r="B57" s="73"/>
      <c r="C57" s="766" t="s">
        <v>79</v>
      </c>
      <c r="D57" s="767"/>
      <c r="E57" s="767"/>
      <c r="F57" s="768"/>
      <c r="G57" s="120">
        <f>'Estados Finan + Estrategia'!K94</f>
        <v>898056.13764912321</v>
      </c>
      <c r="H57" s="120">
        <f>'Estados Finan + Estrategia'!L94</f>
        <v>991963.96408408054</v>
      </c>
      <c r="I57" s="120">
        <f>'Estados Finan + Estrategia'!M94</f>
        <v>1088696.8179876858</v>
      </c>
      <c r="J57" s="120">
        <f>'Estados Finan + Estrategia'!N94</f>
        <v>1195086.9927834873</v>
      </c>
      <c r="K57" s="120">
        <f>'Estados Finan + Estrategia'!O94</f>
        <v>1319751.8948922004</v>
      </c>
      <c r="L57" s="120">
        <f>'Estados Finan + Estrategia'!P94</f>
        <v>1458930.0262733633</v>
      </c>
    </row>
    <row r="58" spans="2:18">
      <c r="B58" s="73"/>
      <c r="C58" s="788" t="s">
        <v>80</v>
      </c>
      <c r="D58" s="789"/>
      <c r="E58" s="789"/>
      <c r="F58" s="790"/>
      <c r="G58" s="121">
        <f>G55+G56+G57</f>
        <v>3665605.5299796979</v>
      </c>
      <c r="H58" s="121">
        <f t="shared" ref="H58:K58" si="11">H55+H56+H57</f>
        <v>5354979.547732681</v>
      </c>
      <c r="I58" s="121">
        <f t="shared" si="11"/>
        <v>6363752.3393513439</v>
      </c>
      <c r="J58" s="121">
        <f t="shared" si="11"/>
        <v>8017358.5236119572</v>
      </c>
      <c r="K58" s="121">
        <f t="shared" si="11"/>
        <v>10453292.226340644</v>
      </c>
      <c r="L58" s="121">
        <f t="shared" ref="L58" si="12">L55+L56+L57</f>
        <v>13796954.458138682</v>
      </c>
    </row>
    <row r="59" spans="2:18">
      <c r="B59" s="73"/>
      <c r="C59" s="67"/>
      <c r="D59" s="65"/>
      <c r="E59" s="65"/>
      <c r="F59" s="65"/>
      <c r="G59" s="65"/>
      <c r="H59" s="65"/>
      <c r="I59" s="65"/>
      <c r="J59" s="65"/>
      <c r="K59" s="65"/>
      <c r="L59" s="65"/>
    </row>
    <row r="60" spans="2:18" ht="23.25" customHeight="1" thickBot="1">
      <c r="B60" s="73"/>
      <c r="C60" s="791" t="s">
        <v>81</v>
      </c>
      <c r="D60" s="792"/>
      <c r="E60" s="792"/>
      <c r="F60" s="793"/>
      <c r="G60" s="120">
        <f>G58*('Estados Finan + Estrategia'!K97/'Estados Finan + Estrategia'!K96)</f>
        <v>521299.80671402236</v>
      </c>
      <c r="H60" s="122">
        <f>H58*('Estados Finan + Estrategia'!L97/'Estados Finan + Estrategia'!L96)</f>
        <v>533581.39696967357</v>
      </c>
      <c r="I60" s="122">
        <f>I58*('Estados Finan + Estrategia'!M97/'Estados Finan + Estrategia'!M96)</f>
        <v>575608.1311039112</v>
      </c>
      <c r="J60" s="122">
        <f>J58*('Estados Finan + Estrategia'!N97/'Estados Finan + Estrategia'!N96)</f>
        <v>615510.62755596777</v>
      </c>
      <c r="K60" s="122">
        <f>K58*('Estados Finan + Estrategia'!O97/'Estados Finan + Estrategia'!O96)</f>
        <v>661972.52849027631</v>
      </c>
      <c r="L60" s="122">
        <f>L58*('Estados Finan + Estrategia'!P97/'Estados Finan + Estrategia'!P96)</f>
        <v>714999.60098448023</v>
      </c>
    </row>
    <row r="61" spans="2:18">
      <c r="B61" s="73"/>
      <c r="C61" s="776" t="s">
        <v>82</v>
      </c>
      <c r="D61" s="777"/>
      <c r="E61" s="777"/>
      <c r="F61" s="778"/>
      <c r="G61" s="123">
        <f>G58-G60</f>
        <v>3144305.7232656754</v>
      </c>
      <c r="H61" s="124">
        <f t="shared" ref="H61:K61" si="13">H58-H60</f>
        <v>4821398.1507630078</v>
      </c>
      <c r="I61" s="124">
        <f t="shared" si="13"/>
        <v>5788144.2082474325</v>
      </c>
      <c r="J61" s="124">
        <f t="shared" si="13"/>
        <v>7401847.896055989</v>
      </c>
      <c r="K61" s="124">
        <f t="shared" si="13"/>
        <v>9791319.6978503671</v>
      </c>
      <c r="L61" s="124">
        <f t="shared" ref="L61" si="14">L58-L60</f>
        <v>13081954.857154202</v>
      </c>
    </row>
    <row r="62" spans="2:18">
      <c r="B62" s="73"/>
      <c r="C62" s="67"/>
      <c r="D62" s="65"/>
      <c r="E62" s="65"/>
      <c r="F62" s="65"/>
      <c r="G62" s="65"/>
      <c r="H62" s="65"/>
      <c r="I62" s="65"/>
      <c r="J62" s="65"/>
      <c r="K62" s="65"/>
      <c r="L62" s="65"/>
    </row>
    <row r="63" spans="2:18">
      <c r="B63" s="73"/>
      <c r="C63" s="779" t="s">
        <v>83</v>
      </c>
      <c r="D63" s="780"/>
      <c r="E63" s="780"/>
      <c r="F63" s="781"/>
      <c r="G63" s="119">
        <f>'Estados Finan + Estrategia'!K103</f>
        <v>4131101.8</v>
      </c>
      <c r="H63" s="125">
        <f>'Estados Finan + Estrategia'!L103</f>
        <v>4284745.16</v>
      </c>
      <c r="I63" s="125">
        <f>'Estados Finan + Estrategia'!M103</f>
        <v>4372413.9920000006</v>
      </c>
      <c r="J63" s="125">
        <f>'Estados Finan + Estrategia'!N103</f>
        <v>4396057.1903999997</v>
      </c>
      <c r="K63" s="125">
        <f>'Estados Finan + Estrategia'!O103</f>
        <v>4376004.8284799997</v>
      </c>
      <c r="L63" s="125">
        <f>'Estados Finan + Estrategia'!P103</f>
        <v>4312064.594176</v>
      </c>
    </row>
    <row r="64" spans="2:18">
      <c r="B64" s="73"/>
      <c r="C64" s="766" t="s">
        <v>140</v>
      </c>
      <c r="D64" s="767"/>
      <c r="E64" s="767"/>
      <c r="F64" s="768"/>
      <c r="G64" s="119">
        <f>'Estados Finan + Estrategia'!K104</f>
        <v>68698.8</v>
      </c>
      <c r="H64" s="125">
        <f>'Estados Finan + Estrategia'!L104</f>
        <v>72056.36</v>
      </c>
      <c r="I64" s="125">
        <f>'Estados Finan + Estrategia'!M104</f>
        <v>74590.631999999998</v>
      </c>
      <c r="J64" s="125">
        <f>'Estados Finan + Estrategia'!N104</f>
        <v>76349.758399999992</v>
      </c>
      <c r="K64" s="125">
        <f>'Estados Finan + Estrategia'!O104</f>
        <v>76195.310079999996</v>
      </c>
      <c r="L64" s="125">
        <f>'Estados Finan + Estrategia'!P104</f>
        <v>73578.172096000009</v>
      </c>
    </row>
    <row r="65" spans="2:12">
      <c r="B65" s="73"/>
      <c r="C65" s="766" t="s">
        <v>141</v>
      </c>
      <c r="D65" s="767"/>
      <c r="E65" s="767"/>
      <c r="F65" s="768"/>
      <c r="G65" s="119"/>
      <c r="H65" s="125"/>
      <c r="I65" s="125"/>
      <c r="J65" s="125"/>
      <c r="K65" s="125"/>
      <c r="L65" s="125"/>
    </row>
    <row r="66" spans="2:12">
      <c r="B66" s="74"/>
      <c r="C66" s="776" t="s">
        <v>84</v>
      </c>
      <c r="D66" s="777"/>
      <c r="E66" s="777"/>
      <c r="F66" s="778"/>
      <c r="G66" s="123">
        <f>+G61+G63+G64+G65</f>
        <v>7344106.3232656745</v>
      </c>
      <c r="H66" s="123">
        <f t="shared" ref="H66:K66" si="15">+H61+H63+H64+H65</f>
        <v>9178199.6707630083</v>
      </c>
      <c r="I66" s="123">
        <f t="shared" si="15"/>
        <v>10235148.832247432</v>
      </c>
      <c r="J66" s="123">
        <f t="shared" si="15"/>
        <v>11874254.84485599</v>
      </c>
      <c r="K66" s="123">
        <f t="shared" si="15"/>
        <v>14243519.836410366</v>
      </c>
      <c r="L66" s="123">
        <f t="shared" ref="L66" si="16">+L61+L63+L64+L65</f>
        <v>17467597.623426199</v>
      </c>
    </row>
    <row r="67" spans="2:12">
      <c r="B67" s="73"/>
      <c r="C67" s="67"/>
      <c r="D67" s="65"/>
      <c r="E67" s="65"/>
      <c r="F67" s="65"/>
      <c r="G67" s="65"/>
      <c r="H67" s="65"/>
      <c r="I67" s="65"/>
      <c r="J67" s="65"/>
      <c r="K67" s="65"/>
      <c r="L67" s="65"/>
    </row>
    <row r="68" spans="2:12">
      <c r="B68" s="73"/>
      <c r="C68" s="779" t="s">
        <v>85</v>
      </c>
      <c r="D68" s="780"/>
      <c r="E68" s="780"/>
      <c r="F68" s="781"/>
      <c r="G68" s="119">
        <f>G74-F74</f>
        <v>-319114.98122399952</v>
      </c>
      <c r="H68" s="125">
        <f t="shared" ref="H68:L68" si="17">H74-G74</f>
        <v>634729.22948884871</v>
      </c>
      <c r="I68" s="125">
        <f t="shared" si="17"/>
        <v>653823.77758491784</v>
      </c>
      <c r="J68" s="125">
        <f t="shared" si="17"/>
        <v>719098.25024110638</v>
      </c>
      <c r="K68" s="125">
        <f t="shared" si="17"/>
        <v>842618.34464428015</v>
      </c>
      <c r="L68" s="125">
        <f t="shared" si="17"/>
        <v>940714.22422336601</v>
      </c>
    </row>
    <row r="69" spans="2:12" ht="15.75" thickBot="1">
      <c r="B69" s="73"/>
      <c r="C69" s="766" t="s">
        <v>86</v>
      </c>
      <c r="D69" s="767"/>
      <c r="E69" s="767"/>
      <c r="F69" s="768"/>
      <c r="G69" s="119">
        <f>'Estados Finan + Estrategia'!K49-'Estados Finan + Estrategia'!J49</f>
        <v>-112743.58514549956</v>
      </c>
      <c r="H69" s="119">
        <f>'Estados Finan + Estrategia'!L49-'Estados Finan + Estrategia'!K49</f>
        <v>224250.35845929617</v>
      </c>
      <c r="I69" s="119">
        <f>'Estados Finan + Estrategia'!M49-'Estados Finan + Estrategia'!L49</f>
        <v>230996.47799535468</v>
      </c>
      <c r="J69" s="119">
        <f>'Estados Finan + Estrategia'!N49-'Estados Finan + Estrategia'!M49</f>
        <v>254058.00283355825</v>
      </c>
      <c r="K69" s="119">
        <f>'Estados Finan + Estrategia'!O49-'Estados Finan + Estrategia'!N49</f>
        <v>297697.75370676909</v>
      </c>
      <c r="L69" s="119">
        <f>'Estados Finan + Estrategia'!P49-'Estados Finan + Estrategia'!O49</f>
        <v>332355.10858658934</v>
      </c>
    </row>
    <row r="70" spans="2:12" ht="15.75" thickBot="1">
      <c r="B70" s="74"/>
      <c r="C70" s="782" t="s">
        <v>87</v>
      </c>
      <c r="D70" s="783"/>
      <c r="E70" s="783"/>
      <c r="F70" s="784"/>
      <c r="G70" s="126">
        <f>+G68+G69</f>
        <v>-431858.56636949908</v>
      </c>
      <c r="H70" s="127">
        <f t="shared" ref="H70:K70" si="18">+H68+H69</f>
        <v>858979.58794814488</v>
      </c>
      <c r="I70" s="127">
        <f t="shared" si="18"/>
        <v>884820.25558027253</v>
      </c>
      <c r="J70" s="127">
        <f t="shared" si="18"/>
        <v>973156.25307466462</v>
      </c>
      <c r="K70" s="127">
        <f t="shared" si="18"/>
        <v>1140316.0983510492</v>
      </c>
      <c r="L70" s="127">
        <f t="shared" ref="L70" si="19">+L68+L69</f>
        <v>1273069.3328099553</v>
      </c>
    </row>
    <row r="71" spans="2:12" ht="13.5" customHeight="1">
      <c r="B71" s="75"/>
      <c r="C71" s="68"/>
      <c r="D71" s="66"/>
      <c r="E71" s="66"/>
      <c r="F71" s="66"/>
      <c r="G71" s="66"/>
      <c r="H71" s="66"/>
      <c r="I71" s="66"/>
      <c r="J71" s="66"/>
      <c r="K71" s="66"/>
      <c r="L71" s="66"/>
    </row>
    <row r="72" spans="2:12" ht="18.75" thickBot="1">
      <c r="B72" s="76"/>
      <c r="C72" s="785" t="s">
        <v>88</v>
      </c>
      <c r="D72" s="786"/>
      <c r="E72" s="786"/>
      <c r="F72" s="787"/>
      <c r="G72" s="128">
        <f>G66-G70</f>
        <v>7775964.8896351736</v>
      </c>
      <c r="H72" s="128">
        <f t="shared" ref="H72:K72" si="20">H66-H70</f>
        <v>8319220.082814863</v>
      </c>
      <c r="I72" s="128">
        <f t="shared" si="20"/>
        <v>9350328.5766671598</v>
      </c>
      <c r="J72" s="128">
        <f t="shared" si="20"/>
        <v>10901098.591781326</v>
      </c>
      <c r="K72" s="128">
        <f t="shared" si="20"/>
        <v>13103203.738059316</v>
      </c>
      <c r="L72" s="128">
        <f t="shared" ref="L72" si="21">L66-L70</f>
        <v>16194528.290616244</v>
      </c>
    </row>
    <row r="73" spans="2:12">
      <c r="B73" s="111" t="s">
        <v>244</v>
      </c>
      <c r="G73" s="319"/>
      <c r="H73" s="319"/>
      <c r="I73" s="319"/>
      <c r="J73" s="319"/>
      <c r="K73" s="319"/>
      <c r="L73" s="319"/>
    </row>
    <row r="74" spans="2:12" ht="15.75" thickBot="1">
      <c r="B74" s="794" t="s">
        <v>245</v>
      </c>
      <c r="C74" s="795"/>
      <c r="D74" s="795"/>
      <c r="E74" s="796"/>
      <c r="F74" s="269">
        <f>'Estados Finan + Estrategia'!J42+'Estados Finan + Estrategia'!J43-'Estados Finan + Estrategia'!J58</f>
        <v>6389136</v>
      </c>
      <c r="G74" s="269">
        <f>'Estados Finan + Estrategia'!K42+'Estados Finan + Estrategia'!K43-'Estados Finan + Estrategia'!K58</f>
        <v>6070021.0187760005</v>
      </c>
      <c r="H74" s="269">
        <f>'Estados Finan + Estrategia'!L42+'Estados Finan + Estrategia'!L43-'Estados Finan + Estrategia'!L58</f>
        <v>6704750.2482648492</v>
      </c>
      <c r="I74" s="269">
        <f>'Estados Finan + Estrategia'!M42+'Estados Finan + Estrategia'!M43-'Estados Finan + Estrategia'!M58</f>
        <v>7358574.025849767</v>
      </c>
      <c r="J74" s="269">
        <f>'Estados Finan + Estrategia'!N42+'Estados Finan + Estrategia'!N43-'Estados Finan + Estrategia'!N58</f>
        <v>8077672.2760908734</v>
      </c>
      <c r="K74" s="269">
        <f>'Estados Finan + Estrategia'!O42+'Estados Finan + Estrategia'!O43-'Estados Finan + Estrategia'!O58</f>
        <v>8920290.6207351536</v>
      </c>
      <c r="L74" s="269">
        <f>'Estados Finan + Estrategia'!P42+'Estados Finan + Estrategia'!P43-'Estados Finan + Estrategia'!P58</f>
        <v>9861004.8449585196</v>
      </c>
    </row>
    <row r="75" spans="2:12">
      <c r="B75" s="711" t="s">
        <v>181</v>
      </c>
      <c r="C75" s="712"/>
      <c r="D75" s="712"/>
      <c r="E75" s="712"/>
      <c r="F75" s="712"/>
      <c r="G75" s="712"/>
      <c r="H75" s="712"/>
      <c r="I75" s="712"/>
      <c r="J75" s="712"/>
      <c r="K75" s="713"/>
    </row>
    <row r="76" spans="2:12" ht="15.75" thickBot="1">
      <c r="B76" s="714"/>
      <c r="C76" s="715"/>
      <c r="D76" s="715"/>
      <c r="E76" s="715"/>
      <c r="F76" s="715"/>
      <c r="G76" s="715"/>
      <c r="H76" s="715"/>
      <c r="I76" s="715"/>
      <c r="J76" s="715"/>
      <c r="K76" s="716"/>
    </row>
    <row r="79" spans="2:12">
      <c r="K79" s="77">
        <v>2025</v>
      </c>
    </row>
    <row r="80" spans="2:12">
      <c r="F80" s="129" t="s">
        <v>96</v>
      </c>
      <c r="G80" s="802" t="s">
        <v>93</v>
      </c>
      <c r="H80" s="803"/>
      <c r="I80" s="803"/>
      <c r="J80" s="803"/>
      <c r="K80" s="297">
        <f>L72</f>
        <v>16194528.290616244</v>
      </c>
    </row>
    <row r="81" spans="2:15">
      <c r="F81" s="129" t="s">
        <v>102</v>
      </c>
      <c r="G81" s="802" t="s">
        <v>94</v>
      </c>
      <c r="H81" s="803"/>
      <c r="I81" s="803"/>
      <c r="J81" s="803"/>
      <c r="K81" s="298">
        <f>L49</f>
        <v>0.14372828424510031</v>
      </c>
    </row>
    <row r="82" spans="2:15">
      <c r="F82" s="130" t="s">
        <v>95</v>
      </c>
      <c r="G82" s="131" t="s">
        <v>103</v>
      </c>
      <c r="H82" s="132"/>
      <c r="I82" s="133">
        <f>'Valoración Sin Estrategia'!I82</f>
        <v>3.2333333333333339E-2</v>
      </c>
      <c r="J82" s="304">
        <f>'Valoración Sin Estrategia'!J82</f>
        <v>2.7683333333333334E-2</v>
      </c>
      <c r="K82" s="299">
        <f>(1+I82)*(1+J82)-1</f>
        <v>6.0911761111110962E-2</v>
      </c>
    </row>
    <row r="83" spans="2:15" ht="15.75" thickBot="1"/>
    <row r="84" spans="2:15" ht="20.25" thickBot="1">
      <c r="F84" s="86" t="s">
        <v>104</v>
      </c>
      <c r="G84" s="800" t="s">
        <v>97</v>
      </c>
      <c r="H84" s="801"/>
      <c r="I84" s="801"/>
      <c r="J84" s="801"/>
      <c r="K84" s="78"/>
    </row>
    <row r="85" spans="2:15">
      <c r="G85" s="804" t="s">
        <v>98</v>
      </c>
      <c r="H85" s="804"/>
      <c r="I85" s="804"/>
      <c r="J85" s="804"/>
      <c r="K85" s="300">
        <f>L72</f>
        <v>16194528.290616244</v>
      </c>
      <c r="N85" s="571" t="s">
        <v>107</v>
      </c>
      <c r="O85" s="572"/>
    </row>
    <row r="86" spans="2:15">
      <c r="G86" s="598" t="s">
        <v>101</v>
      </c>
      <c r="H86" s="599"/>
      <c r="I86" s="599"/>
      <c r="J86" s="600"/>
      <c r="K86" s="301">
        <f>K81</f>
        <v>0.14372828424510031</v>
      </c>
      <c r="N86" s="573"/>
      <c r="O86" s="574"/>
    </row>
    <row r="87" spans="2:15" ht="15.75" thickBot="1">
      <c r="G87" s="596" t="s">
        <v>99</v>
      </c>
      <c r="H87" s="596"/>
      <c r="I87" s="596"/>
      <c r="J87" s="596"/>
      <c r="K87" s="302">
        <f>K85/K86</f>
        <v>112674609.42482039</v>
      </c>
      <c r="N87" s="575"/>
      <c r="O87" s="576"/>
    </row>
    <row r="88" spans="2:15" ht="15.75" thickBot="1"/>
    <row r="89" spans="2:15" ht="20.25" thickBot="1">
      <c r="F89" s="87" t="s">
        <v>105</v>
      </c>
      <c r="G89" s="800" t="s">
        <v>100</v>
      </c>
      <c r="H89" s="801"/>
      <c r="I89" s="801"/>
      <c r="J89" s="801"/>
      <c r="K89" s="78"/>
    </row>
    <row r="90" spans="2:15" ht="15" customHeight="1">
      <c r="F90" s="78"/>
      <c r="G90" s="598" t="s">
        <v>98</v>
      </c>
      <c r="H90" s="599"/>
      <c r="I90" s="599"/>
      <c r="J90" s="600"/>
      <c r="K90" s="300">
        <f>K80</f>
        <v>16194528.290616244</v>
      </c>
      <c r="N90" s="585" t="s">
        <v>108</v>
      </c>
      <c r="O90" s="586"/>
    </row>
    <row r="91" spans="2:15" ht="15" customHeight="1">
      <c r="F91" s="78"/>
      <c r="G91" s="598" t="s">
        <v>101</v>
      </c>
      <c r="H91" s="599"/>
      <c r="I91" s="599"/>
      <c r="J91" s="600"/>
      <c r="K91" s="303">
        <f>K81</f>
        <v>0.14372828424510031</v>
      </c>
      <c r="N91" s="587"/>
      <c r="O91" s="588"/>
    </row>
    <row r="92" spans="2:15" ht="15.75" customHeight="1">
      <c r="F92" s="78"/>
      <c r="G92" s="598" t="s">
        <v>106</v>
      </c>
      <c r="H92" s="599"/>
      <c r="I92" s="599"/>
      <c r="J92" s="600"/>
      <c r="K92" s="303">
        <f>K82</f>
        <v>6.0911761111110962E-2</v>
      </c>
      <c r="N92" s="587"/>
      <c r="O92" s="588"/>
    </row>
    <row r="93" spans="2:15" ht="15.75" thickBot="1">
      <c r="G93" s="596" t="s">
        <v>190</v>
      </c>
      <c r="H93" s="596"/>
      <c r="I93" s="596"/>
      <c r="J93" s="596"/>
      <c r="K93" s="302">
        <f>K90*(1+K92)/(K91-K92)</f>
        <v>207458184.41766992</v>
      </c>
      <c r="N93" s="589"/>
      <c r="O93" s="590"/>
    </row>
    <row r="95" spans="2:15" ht="15.75" thickBot="1"/>
    <row r="96" spans="2:15" ht="15" customHeight="1">
      <c r="B96" s="808" t="s">
        <v>117</v>
      </c>
      <c r="C96" s="808"/>
      <c r="D96" s="808"/>
      <c r="E96" s="808"/>
      <c r="F96" s="808"/>
      <c r="G96" s="77">
        <f t="shared" ref="G96:L96" si="22">G54</f>
        <v>2020</v>
      </c>
      <c r="H96" s="77">
        <f t="shared" si="22"/>
        <v>2021</v>
      </c>
      <c r="I96" s="77">
        <f t="shared" si="22"/>
        <v>2022</v>
      </c>
      <c r="J96" s="77">
        <f t="shared" si="22"/>
        <v>2023</v>
      </c>
      <c r="K96" s="105">
        <f t="shared" si="22"/>
        <v>2024</v>
      </c>
      <c r="L96" s="105">
        <f t="shared" si="22"/>
        <v>2025</v>
      </c>
      <c r="M96" s="828" t="s">
        <v>155</v>
      </c>
    </row>
    <row r="97" spans="2:13">
      <c r="B97" s="813" t="s">
        <v>109</v>
      </c>
      <c r="C97" s="813"/>
      <c r="D97" s="813"/>
      <c r="E97" s="813"/>
      <c r="F97" s="813"/>
      <c r="G97" s="23">
        <f>G49</f>
        <v>0.14813607502931275</v>
      </c>
      <c r="H97" s="23">
        <f t="shared" ref="H97:K97" si="23">H49</f>
        <v>0.14787864026285899</v>
      </c>
      <c r="I97" s="23">
        <f t="shared" si="23"/>
        <v>0.14716885294478735</v>
      </c>
      <c r="J97" s="23">
        <f t="shared" si="23"/>
        <v>0.14572834055574813</v>
      </c>
      <c r="K97" s="27">
        <f t="shared" si="23"/>
        <v>0.14479806424507582</v>
      </c>
      <c r="L97" s="333">
        <f t="shared" ref="L97" si="24">L49</f>
        <v>0.14372828424510031</v>
      </c>
      <c r="M97" s="829"/>
    </row>
    <row r="98" spans="2:13">
      <c r="B98" s="810" t="s">
        <v>110</v>
      </c>
      <c r="C98" s="810"/>
      <c r="D98" s="810"/>
      <c r="E98" s="810"/>
      <c r="F98" s="810"/>
      <c r="G98" s="284">
        <f>G97</f>
        <v>0.14813607502931275</v>
      </c>
      <c r="H98" s="284">
        <f>(1+G98)*(1+H97)-1</f>
        <v>0.31792087664138324</v>
      </c>
      <c r="I98" s="284">
        <f t="shared" ref="I98:L98" si="25">(1+H98)*(1+I97)-1</f>
        <v>0.51187778032868425</v>
      </c>
      <c r="J98" s="284">
        <f t="shared" si="25"/>
        <v>0.7322012203790913</v>
      </c>
      <c r="K98" s="284">
        <f t="shared" si="25"/>
        <v>0.98302060397294189</v>
      </c>
      <c r="L98" s="284">
        <f t="shared" si="25"/>
        <v>1.268036753004655</v>
      </c>
      <c r="M98" s="829"/>
    </row>
    <row r="99" spans="2:13">
      <c r="B99" s="275"/>
      <c r="C99" s="279"/>
      <c r="D99" s="279"/>
      <c r="E99" s="279"/>
      <c r="F99" s="279"/>
      <c r="G99" s="279"/>
      <c r="H99" s="279"/>
      <c r="I99" s="279"/>
      <c r="J99" s="279"/>
      <c r="K99" s="280"/>
      <c r="L99" s="280"/>
      <c r="M99" s="830"/>
    </row>
    <row r="100" spans="2:13">
      <c r="B100" s="812" t="s">
        <v>111</v>
      </c>
      <c r="C100" s="812"/>
      <c r="D100" s="812"/>
      <c r="E100" s="812"/>
      <c r="F100" s="812"/>
      <c r="G100" s="285">
        <f>G72</f>
        <v>7775964.8896351736</v>
      </c>
      <c r="H100" s="285">
        <f t="shared" ref="H100:K100" si="26">H72</f>
        <v>8319220.082814863</v>
      </c>
      <c r="I100" s="285">
        <f t="shared" si="26"/>
        <v>9350328.5766671598</v>
      </c>
      <c r="J100" s="285">
        <f t="shared" si="26"/>
        <v>10901098.591781326</v>
      </c>
      <c r="K100" s="278">
        <f t="shared" si="26"/>
        <v>13103203.738059316</v>
      </c>
      <c r="L100" s="278">
        <f t="shared" ref="L100" si="27">L72</f>
        <v>16194528.290616244</v>
      </c>
      <c r="M100" s="829"/>
    </row>
    <row r="101" spans="2:13">
      <c r="B101" s="810" t="s">
        <v>112</v>
      </c>
      <c r="C101" s="810"/>
      <c r="D101" s="810"/>
      <c r="E101" s="810"/>
      <c r="F101" s="810"/>
      <c r="G101" s="281"/>
      <c r="H101" s="282"/>
      <c r="I101" s="282"/>
      <c r="J101" s="283"/>
      <c r="K101" s="283"/>
      <c r="L101" s="276">
        <f>+K93</f>
        <v>207458184.41766992</v>
      </c>
      <c r="M101" s="829"/>
    </row>
    <row r="102" spans="2:13">
      <c r="B102" s="275"/>
      <c r="C102" s="279"/>
      <c r="D102" s="279"/>
      <c r="E102" s="279"/>
      <c r="F102" s="279"/>
      <c r="G102" s="279"/>
      <c r="H102" s="279"/>
      <c r="I102" s="279"/>
      <c r="J102" s="279"/>
      <c r="K102" s="280"/>
      <c r="L102" s="280"/>
      <c r="M102" s="830"/>
    </row>
    <row r="103" spans="2:13">
      <c r="B103" s="812" t="s">
        <v>113</v>
      </c>
      <c r="C103" s="812"/>
      <c r="D103" s="812"/>
      <c r="E103" s="812"/>
      <c r="F103" s="812"/>
      <c r="G103" s="277">
        <f>G100/(1+G98)</f>
        <v>6772685.7980981451</v>
      </c>
      <c r="H103" s="277">
        <f t="shared" ref="H103:K103" si="28">H100/(1+H98)</f>
        <v>6312382.0483182082</v>
      </c>
      <c r="I103" s="277">
        <f t="shared" si="28"/>
        <v>6184579.6653181752</v>
      </c>
      <c r="J103" s="277">
        <f t="shared" si="28"/>
        <v>6293205.6989289187</v>
      </c>
      <c r="K103" s="278">
        <f t="shared" si="28"/>
        <v>6607699.2401426947</v>
      </c>
      <c r="L103" s="278">
        <f t="shared" ref="L103" si="29">L100/(1+L98)</f>
        <v>7140328.8633493343</v>
      </c>
      <c r="M103" s="829"/>
    </row>
    <row r="104" spans="2:13">
      <c r="B104" s="810" t="s">
        <v>112</v>
      </c>
      <c r="C104" s="810"/>
      <c r="D104" s="810"/>
      <c r="E104" s="810"/>
      <c r="F104" s="811"/>
      <c r="G104" s="281"/>
      <c r="H104" s="282"/>
      <c r="I104" s="282"/>
      <c r="J104" s="283"/>
      <c r="K104" s="283"/>
      <c r="L104" s="273">
        <f>L101/(1+L98)</f>
        <v>91470380.337899283</v>
      </c>
      <c r="M104" s="829"/>
    </row>
    <row r="105" spans="2:13">
      <c r="B105" s="270"/>
      <c r="C105" s="271"/>
      <c r="D105" s="271"/>
      <c r="E105" s="271"/>
      <c r="F105" s="271"/>
      <c r="G105" s="271"/>
      <c r="H105" s="271"/>
      <c r="I105" s="271"/>
      <c r="J105" s="271"/>
      <c r="K105" s="272"/>
      <c r="L105" s="272"/>
      <c r="M105" s="830"/>
    </row>
    <row r="106" spans="2:13">
      <c r="B106" s="812" t="s">
        <v>191</v>
      </c>
      <c r="C106" s="812"/>
      <c r="D106" s="812"/>
      <c r="E106" s="812"/>
      <c r="F106" s="812"/>
      <c r="G106" s="99">
        <f>SUM(G103:L103)</f>
        <v>39310881.314155482</v>
      </c>
      <c r="H106" s="134"/>
      <c r="I106" s="134"/>
      <c r="J106" s="134"/>
      <c r="K106" s="134"/>
      <c r="L106" s="134"/>
      <c r="M106" s="829"/>
    </row>
    <row r="107" spans="2:13">
      <c r="B107" s="813" t="s">
        <v>115</v>
      </c>
      <c r="C107" s="813"/>
      <c r="D107" s="813"/>
      <c r="E107" s="813"/>
      <c r="F107" s="813"/>
      <c r="G107" s="98">
        <f>L104</f>
        <v>91470380.337899283</v>
      </c>
      <c r="L107" s="328"/>
      <c r="M107" s="829"/>
    </row>
    <row r="108" spans="2:13">
      <c r="B108" s="814" t="s">
        <v>116</v>
      </c>
      <c r="C108" s="814"/>
      <c r="D108" s="814"/>
      <c r="E108" s="814"/>
      <c r="F108" s="814"/>
      <c r="G108" s="294">
        <f>+G106+G107</f>
        <v>130781261.65205476</v>
      </c>
      <c r="L108" s="328"/>
      <c r="M108" s="829"/>
    </row>
    <row r="109" spans="2:13">
      <c r="L109" s="328"/>
      <c r="M109" s="829"/>
    </row>
    <row r="110" spans="2:13">
      <c r="B110" s="816" t="s">
        <v>118</v>
      </c>
      <c r="C110" s="817"/>
      <c r="D110" s="817"/>
      <c r="E110" s="817"/>
      <c r="F110" s="818"/>
      <c r="G110" s="95">
        <f>G108</f>
        <v>130781261.65205476</v>
      </c>
      <c r="L110" s="328"/>
      <c r="M110" s="829"/>
    </row>
    <row r="111" spans="2:13">
      <c r="B111" s="819" t="s">
        <v>119</v>
      </c>
      <c r="C111" s="820"/>
      <c r="D111" s="820"/>
      <c r="E111" s="820"/>
      <c r="F111" s="821"/>
      <c r="G111" s="94">
        <f>+'Estados Finan + Estrategia'!J62-'Estados Finan + Estrategia'!J57</f>
        <v>10258271</v>
      </c>
      <c r="L111" s="328"/>
      <c r="M111" s="829"/>
    </row>
    <row r="112" spans="2:13">
      <c r="B112" s="775" t="s">
        <v>120</v>
      </c>
      <c r="C112" s="775"/>
      <c r="D112" s="775"/>
      <c r="E112" s="775"/>
      <c r="F112" s="775"/>
      <c r="G112" s="94">
        <f>+'Estados Finan + Estrategia'!J40+'Estados Finan + Estrategia'!J41+'Estados Finan + Estrategia'!J42+'Estados Finan + Estrategia'!J43</f>
        <v>21326398</v>
      </c>
      <c r="L112" s="328"/>
      <c r="M112" s="829"/>
    </row>
    <row r="113" spans="2:13">
      <c r="B113" s="775" t="s">
        <v>143</v>
      </c>
      <c r="C113" s="775"/>
      <c r="D113" s="775"/>
      <c r="E113" s="775"/>
      <c r="F113" s="775"/>
      <c r="G113" s="94">
        <f>'Estados Finan + Estrategia'!J57+'Estados Finan + Estrategia'!J64</f>
        <v>1950000</v>
      </c>
      <c r="L113" s="328"/>
      <c r="M113" s="829"/>
    </row>
    <row r="114" spans="2:13">
      <c r="B114" s="822" t="s">
        <v>121</v>
      </c>
      <c r="C114" s="822"/>
      <c r="D114" s="822"/>
      <c r="E114" s="822"/>
      <c r="F114" s="822"/>
      <c r="G114" s="295">
        <f>G110-G111+G112-G113</f>
        <v>139899388.65205476</v>
      </c>
      <c r="H114" s="97"/>
      <c r="L114" s="328"/>
      <c r="M114" s="829"/>
    </row>
    <row r="115" spans="2:13">
      <c r="G115" s="96"/>
      <c r="L115" s="328"/>
      <c r="M115" s="829"/>
    </row>
    <row r="116" spans="2:13">
      <c r="B116" s="813" t="s">
        <v>122</v>
      </c>
      <c r="C116" s="813"/>
      <c r="D116" s="813"/>
      <c r="E116" s="813"/>
      <c r="F116" s="813"/>
      <c r="G116" s="94">
        <f>'Estados Finan + Estrategia'!J76</f>
        <v>12216434</v>
      </c>
      <c r="L116" s="328"/>
      <c r="M116" s="829"/>
    </row>
    <row r="117" spans="2:13">
      <c r="B117" s="52"/>
      <c r="C117" s="52"/>
      <c r="D117" s="52"/>
      <c r="E117" s="52"/>
      <c r="F117" s="52"/>
      <c r="G117" s="52"/>
      <c r="L117" s="328"/>
      <c r="M117" s="829"/>
    </row>
    <row r="118" spans="2:13">
      <c r="B118" s="813" t="s">
        <v>125</v>
      </c>
      <c r="C118" s="813"/>
      <c r="D118" s="813"/>
      <c r="E118" s="813"/>
      <c r="F118" s="813"/>
      <c r="G118" s="8">
        <f>'Valoración Sin Estrategia'!G118</f>
        <v>1500000</v>
      </c>
      <c r="H118" s="328"/>
      <c r="L118" s="328"/>
      <c r="M118" s="829"/>
    </row>
    <row r="119" spans="2:13">
      <c r="B119" s="813" t="s">
        <v>124</v>
      </c>
      <c r="C119" s="813"/>
      <c r="D119" s="813"/>
      <c r="E119" s="813"/>
      <c r="F119" s="813"/>
      <c r="G119" s="100">
        <f>G116/G118</f>
        <v>8.144289333333333</v>
      </c>
      <c r="L119" s="328"/>
      <c r="M119" s="829"/>
    </row>
    <row r="120" spans="2:13">
      <c r="B120" s="813" t="s">
        <v>126</v>
      </c>
      <c r="C120" s="813"/>
      <c r="D120" s="813"/>
      <c r="E120" s="813"/>
      <c r="F120" s="813"/>
      <c r="G120" s="100">
        <f>G114/G118</f>
        <v>93.26625910136984</v>
      </c>
      <c r="L120" s="328"/>
      <c r="M120" s="829"/>
    </row>
    <row r="121" spans="2:13" ht="16.5" thickBot="1">
      <c r="B121" s="815" t="s">
        <v>123</v>
      </c>
      <c r="C121" s="815"/>
      <c r="D121" s="815"/>
      <c r="E121" s="815"/>
      <c r="F121" s="815"/>
      <c r="G121" s="296">
        <f>G120/G119</f>
        <v>11.45173695139308</v>
      </c>
      <c r="L121" s="328"/>
      <c r="M121" s="831"/>
    </row>
    <row r="124" spans="2:13" ht="15.75" thickBot="1"/>
    <row r="125" spans="2:13">
      <c r="B125" s="711" t="s">
        <v>182</v>
      </c>
      <c r="C125" s="712"/>
      <c r="D125" s="712"/>
      <c r="E125" s="712"/>
      <c r="F125" s="712"/>
      <c r="G125" s="712"/>
      <c r="H125" s="712"/>
      <c r="I125" s="712"/>
      <c r="J125" s="712"/>
      <c r="K125" s="713"/>
    </row>
    <row r="126" spans="2:13" ht="15.75" thickBot="1">
      <c r="B126" s="714"/>
      <c r="C126" s="715"/>
      <c r="D126" s="715"/>
      <c r="E126" s="715"/>
      <c r="F126" s="715"/>
      <c r="G126" s="715"/>
      <c r="H126" s="715"/>
      <c r="I126" s="715"/>
      <c r="J126" s="715"/>
      <c r="K126" s="716"/>
    </row>
    <row r="127" spans="2:13" ht="15.75" thickBot="1"/>
    <row r="128" spans="2:13" ht="15" customHeight="1">
      <c r="B128" s="808" t="s">
        <v>129</v>
      </c>
      <c r="C128" s="808"/>
      <c r="D128" s="808"/>
      <c r="E128" s="808"/>
      <c r="F128" s="808"/>
      <c r="G128" s="77">
        <f t="shared" ref="G128:L128" si="30">G96</f>
        <v>2020</v>
      </c>
      <c r="H128" s="77">
        <f t="shared" si="30"/>
        <v>2021</v>
      </c>
      <c r="I128" s="77">
        <f t="shared" si="30"/>
        <v>2022</v>
      </c>
      <c r="J128" s="77">
        <f t="shared" si="30"/>
        <v>2023</v>
      </c>
      <c r="K128" s="105">
        <f t="shared" si="30"/>
        <v>2024</v>
      </c>
      <c r="L128" s="105">
        <f t="shared" si="30"/>
        <v>2025</v>
      </c>
      <c r="M128" s="797" t="s">
        <v>127</v>
      </c>
    </row>
    <row r="129" spans="2:13">
      <c r="B129" s="775" t="s">
        <v>130</v>
      </c>
      <c r="C129" s="775"/>
      <c r="D129" s="775"/>
      <c r="E129" s="775"/>
      <c r="F129" s="775"/>
      <c r="G129" s="12">
        <f>'Estados Finan + Estrategia'!K54</f>
        <v>23204776.471717503</v>
      </c>
      <c r="H129" s="12">
        <f>'Estados Finan + Estrategia'!L54</f>
        <v>25631250.753238887</v>
      </c>
      <c r="I129" s="12">
        <f>'Estados Finan + Estrategia'!M54</f>
        <v>28130720.61731711</v>
      </c>
      <c r="J129" s="12">
        <f>'Estados Finan + Estrategia'!N54</f>
        <v>30879724.962842874</v>
      </c>
      <c r="K129" s="106">
        <f>'Estados Finan + Estrategia'!O54</f>
        <v>34100928.032479346</v>
      </c>
      <c r="L129" s="106">
        <f>'Estados Finan + Estrategia'!P54</f>
        <v>37697136.880742952</v>
      </c>
      <c r="M129" s="798"/>
    </row>
    <row r="130" spans="2:13">
      <c r="B130" s="775" t="s">
        <v>131</v>
      </c>
      <c r="C130" s="775"/>
      <c r="D130" s="775"/>
      <c r="E130" s="775"/>
      <c r="F130" s="775"/>
      <c r="G130" s="8">
        <f>'Estados Finan + Estrategia'!K69</f>
        <v>11598510.592498502</v>
      </c>
      <c r="H130" s="8">
        <f>'Estados Finan + Estrategia'!L69</f>
        <v>12811342.256313616</v>
      </c>
      <c r="I130" s="8">
        <f>'Estados Finan + Estrategia'!M69</f>
        <v>14060659.513451423</v>
      </c>
      <c r="J130" s="8">
        <f>'Estados Finan + Estrategia'!N69</f>
        <v>15434702.312754678</v>
      </c>
      <c r="K130" s="107">
        <f>'Estados Finan + Estrategia'!O69</f>
        <v>17044765.567158524</v>
      </c>
      <c r="L130" s="107">
        <f>'Estados Finan + Estrategia'!P69</f>
        <v>18842269.045386817</v>
      </c>
      <c r="M130" s="798"/>
    </row>
    <row r="131" spans="2:13">
      <c r="B131" s="775" t="s">
        <v>136</v>
      </c>
      <c r="C131" s="775"/>
      <c r="D131" s="775"/>
      <c r="E131" s="775"/>
      <c r="F131" s="775"/>
      <c r="G131" s="10">
        <f>G129-G130</f>
        <v>11606265.879219001</v>
      </c>
      <c r="H131" s="10">
        <f t="shared" ref="H131:K131" si="31">H129-H130</f>
        <v>12819908.49692527</v>
      </c>
      <c r="I131" s="10">
        <f t="shared" si="31"/>
        <v>14070061.103865687</v>
      </c>
      <c r="J131" s="10">
        <f t="shared" si="31"/>
        <v>15445022.650088197</v>
      </c>
      <c r="K131" s="108">
        <f t="shared" si="31"/>
        <v>17056162.465320822</v>
      </c>
      <c r="L131" s="108">
        <f t="shared" ref="L131" si="32">L129-L130</f>
        <v>18854867.835356135</v>
      </c>
      <c r="M131" s="798"/>
    </row>
    <row r="132" spans="2:13">
      <c r="B132" s="775" t="s">
        <v>132</v>
      </c>
      <c r="C132" s="775"/>
      <c r="D132" s="775"/>
      <c r="E132" s="775"/>
      <c r="F132" s="775"/>
      <c r="G132" s="20">
        <f>G131/$G$118</f>
        <v>7.7375105861460005</v>
      </c>
      <c r="H132" s="20">
        <f t="shared" ref="H132:K132" si="33">H131/$G$118</f>
        <v>8.5466056646168465</v>
      </c>
      <c r="I132" s="20">
        <f t="shared" si="33"/>
        <v>9.3800407359104572</v>
      </c>
      <c r="J132" s="20">
        <f t="shared" si="33"/>
        <v>10.296681766725465</v>
      </c>
      <c r="K132" s="109">
        <f t="shared" si="33"/>
        <v>11.370774976880547</v>
      </c>
      <c r="L132" s="109">
        <f t="shared" ref="L132" si="34">L131/$G$118</f>
        <v>12.569911890237423</v>
      </c>
      <c r="M132" s="798"/>
    </row>
    <row r="133" spans="2:13" ht="15.75">
      <c r="B133" s="805" t="s">
        <v>123</v>
      </c>
      <c r="C133" s="806"/>
      <c r="D133" s="806"/>
      <c r="E133" s="806"/>
      <c r="F133" s="807"/>
      <c r="G133" s="296">
        <f>G132/$G$119</f>
        <v>0.95005350000000011</v>
      </c>
      <c r="H133" s="296">
        <f t="shared" ref="H133:K133" si="35">H132/$G$119</f>
        <v>1.0493985803815802</v>
      </c>
      <c r="I133" s="296">
        <f t="shared" si="35"/>
        <v>1.151732257045361</v>
      </c>
      <c r="J133" s="296">
        <f t="shared" si="35"/>
        <v>1.2642824125344758</v>
      </c>
      <c r="K133" s="296">
        <f t="shared" si="35"/>
        <v>1.3961654002568034</v>
      </c>
      <c r="L133" s="296">
        <f t="shared" ref="L133" si="36">L132/$G$119</f>
        <v>1.5434019318040055</v>
      </c>
      <c r="M133" s="798"/>
    </row>
    <row r="134" spans="2:13" ht="9" customHeight="1">
      <c r="L134" s="328"/>
      <c r="M134" s="798"/>
    </row>
    <row r="135" spans="2:13" ht="9" customHeight="1">
      <c r="L135" s="328"/>
      <c r="M135" s="798"/>
    </row>
    <row r="136" spans="2:13" ht="7.5" customHeight="1">
      <c r="L136" s="328"/>
      <c r="M136" s="798"/>
    </row>
    <row r="137" spans="2:13" ht="10.5" customHeight="1">
      <c r="L137" s="328"/>
      <c r="M137" s="798"/>
    </row>
    <row r="138" spans="2:13">
      <c r="B138" s="808" t="s">
        <v>134</v>
      </c>
      <c r="C138" s="808"/>
      <c r="D138" s="808"/>
      <c r="E138" s="808"/>
      <c r="F138" s="808"/>
      <c r="G138" s="77">
        <f t="shared" ref="G138:L138" si="37">G128</f>
        <v>2020</v>
      </c>
      <c r="H138" s="77">
        <f t="shared" si="37"/>
        <v>2021</v>
      </c>
      <c r="I138" s="77">
        <f t="shared" si="37"/>
        <v>2022</v>
      </c>
      <c r="J138" s="77">
        <f t="shared" si="37"/>
        <v>2023</v>
      </c>
      <c r="K138" s="105">
        <f t="shared" si="37"/>
        <v>2024</v>
      </c>
      <c r="L138" s="105">
        <f t="shared" si="37"/>
        <v>2025</v>
      </c>
      <c r="M138" s="798"/>
    </row>
    <row r="139" spans="2:13">
      <c r="B139" s="775" t="s">
        <v>135</v>
      </c>
      <c r="C139" s="775"/>
      <c r="D139" s="775"/>
      <c r="E139" s="775"/>
      <c r="F139" s="775"/>
      <c r="G139" s="12">
        <f>'Estados Finan + Estrategia'!K54</f>
        <v>23204776.471717503</v>
      </c>
      <c r="H139" s="12">
        <f>'Estados Finan + Estrategia'!L54</f>
        <v>25631250.753238887</v>
      </c>
      <c r="I139" s="12">
        <f>'Estados Finan + Estrategia'!M54</f>
        <v>28130720.61731711</v>
      </c>
      <c r="J139" s="12">
        <f>'Estados Finan + Estrategia'!N54</f>
        <v>30879724.962842874</v>
      </c>
      <c r="K139" s="106">
        <f>'Estados Finan + Estrategia'!O54</f>
        <v>34100928.032479346</v>
      </c>
      <c r="L139" s="106">
        <f>'Estados Finan + Estrategia'!P54</f>
        <v>37697136.880742952</v>
      </c>
      <c r="M139" s="798"/>
    </row>
    <row r="140" spans="2:13">
      <c r="B140" s="775" t="s">
        <v>137</v>
      </c>
      <c r="C140" s="775"/>
      <c r="D140" s="775"/>
      <c r="E140" s="775"/>
      <c r="F140" s="775"/>
      <c r="G140" s="8">
        <f>'Estados Finan + Estrategia'!K57+'Estados Finan + Estrategia'!K64+'Estados Finan + Estrategia'!K58</f>
        <v>10192052.341152001</v>
      </c>
      <c r="H140" s="8">
        <f>'Estados Finan + Estrategia'!L57+'Estados Finan + Estrategia'!L64+'Estados Finan + Estrategia'!L58</f>
        <v>11257813.647315305</v>
      </c>
      <c r="I140" s="8">
        <f>'Estados Finan + Estrategia'!M57+'Estados Finan + Estrategia'!M64+'Estados Finan + Estrategia'!M58</f>
        <v>12355636.231853727</v>
      </c>
      <c r="J140" s="8">
        <f>'Estados Finan + Estrategia'!N57+'Estados Finan + Estrategia'!N64+'Estados Finan + Estrategia'!N58</f>
        <v>13563059.893521052</v>
      </c>
      <c r="K140" s="107">
        <f>'Estados Finan + Estrategia'!O57+'Estados Finan + Estrategia'!O64+'Estados Finan + Estrategia'!O58</f>
        <v>14977883.704783753</v>
      </c>
      <c r="L140" s="107">
        <f>'Estados Finan + Estrategia'!P57+'Estados Finan + Estrategia'!P64+'Estados Finan + Estrategia'!P58</f>
        <v>16557418.3689461</v>
      </c>
      <c r="M140" s="798"/>
    </row>
    <row r="141" spans="2:13">
      <c r="B141" s="775" t="s">
        <v>138</v>
      </c>
      <c r="C141" s="775"/>
      <c r="D141" s="775"/>
      <c r="E141" s="775"/>
      <c r="F141" s="775"/>
      <c r="G141" s="9">
        <f>G139-G140</f>
        <v>13012724.130565502</v>
      </c>
      <c r="H141" s="9">
        <f t="shared" ref="H141:K141" si="38">H139-H140</f>
        <v>14373437.105923582</v>
      </c>
      <c r="I141" s="9">
        <f t="shared" si="38"/>
        <v>15775084.385463383</v>
      </c>
      <c r="J141" s="9">
        <f t="shared" si="38"/>
        <v>17316665.069321822</v>
      </c>
      <c r="K141" s="110">
        <f t="shared" si="38"/>
        <v>19123044.327695593</v>
      </c>
      <c r="L141" s="110">
        <f t="shared" ref="L141" si="39">L139-L140</f>
        <v>21139718.511796854</v>
      </c>
      <c r="M141" s="798"/>
    </row>
    <row r="142" spans="2:13">
      <c r="B142" s="775" t="s">
        <v>133</v>
      </c>
      <c r="C142" s="775"/>
      <c r="D142" s="775"/>
      <c r="E142" s="775"/>
      <c r="F142" s="775"/>
      <c r="G142" s="20">
        <f>G141/$G$118</f>
        <v>8.6751494203770019</v>
      </c>
      <c r="H142" s="20">
        <f t="shared" ref="H142:K142" si="40">H141/$G$118</f>
        <v>9.5822914039490552</v>
      </c>
      <c r="I142" s="20">
        <f t="shared" si="40"/>
        <v>10.516722923642256</v>
      </c>
      <c r="J142" s="20">
        <f t="shared" si="40"/>
        <v>11.544443379547882</v>
      </c>
      <c r="K142" s="109">
        <f t="shared" si="40"/>
        <v>12.74869621846373</v>
      </c>
      <c r="L142" s="109">
        <f t="shared" ref="L142" si="41">L141/$G$118</f>
        <v>14.093145674531236</v>
      </c>
      <c r="M142" s="798"/>
    </row>
    <row r="143" spans="2:13" ht="16.5" thickBot="1">
      <c r="B143" s="805" t="s">
        <v>123</v>
      </c>
      <c r="C143" s="806"/>
      <c r="D143" s="806"/>
      <c r="E143" s="806"/>
      <c r="F143" s="807"/>
      <c r="G143" s="296">
        <f>G142/$G$119</f>
        <v>1.0651818796357024</v>
      </c>
      <c r="H143" s="296">
        <f t="shared" ref="H143:K143" si="42">H142/$G$119</f>
        <v>1.1765656906036233</v>
      </c>
      <c r="I143" s="296">
        <f t="shared" si="42"/>
        <v>1.2913002587713718</v>
      </c>
      <c r="J143" s="296">
        <f t="shared" si="42"/>
        <v>1.4174893483091566</v>
      </c>
      <c r="K143" s="305">
        <f t="shared" si="42"/>
        <v>1.5653540409333522</v>
      </c>
      <c r="L143" s="305">
        <f t="shared" ref="L143" si="43">L142/$G$119</f>
        <v>1.7304328343112936</v>
      </c>
      <c r="M143" s="799"/>
    </row>
    <row r="144" spans="2:13" ht="9" customHeight="1"/>
    <row r="145" spans="2:13" ht="9" customHeight="1"/>
    <row r="146" spans="2:13" ht="9.75" customHeight="1"/>
    <row r="147" spans="2:13" ht="9.75" customHeight="1"/>
    <row r="149" spans="2:13" ht="15.75" thickBot="1"/>
    <row r="150" spans="2:13">
      <c r="B150" s="711" t="s">
        <v>183</v>
      </c>
      <c r="C150" s="712"/>
      <c r="D150" s="712"/>
      <c r="E150" s="712"/>
      <c r="F150" s="712"/>
      <c r="G150" s="712"/>
      <c r="H150" s="712"/>
      <c r="I150" s="712"/>
      <c r="J150" s="712"/>
      <c r="K150" s="713"/>
    </row>
    <row r="151" spans="2:13" ht="15.75" thickBot="1">
      <c r="B151" s="714"/>
      <c r="C151" s="715"/>
      <c r="D151" s="715"/>
      <c r="E151" s="715"/>
      <c r="F151" s="715"/>
      <c r="G151" s="715"/>
      <c r="H151" s="715"/>
      <c r="I151" s="715"/>
      <c r="J151" s="715"/>
      <c r="K151" s="716"/>
    </row>
    <row r="152" spans="2:13" ht="15.75" thickBot="1"/>
    <row r="153" spans="2:13">
      <c r="B153" s="809" t="s">
        <v>117</v>
      </c>
      <c r="C153" s="809"/>
      <c r="D153" s="809"/>
      <c r="E153" s="809"/>
      <c r="F153" s="809"/>
      <c r="G153" s="402">
        <f t="shared" ref="G153:L153" si="44">G138</f>
        <v>2020</v>
      </c>
      <c r="H153" s="402">
        <f t="shared" si="44"/>
        <v>2021</v>
      </c>
      <c r="I153" s="402">
        <f t="shared" si="44"/>
        <v>2022</v>
      </c>
      <c r="J153" s="402">
        <f t="shared" si="44"/>
        <v>2023</v>
      </c>
      <c r="K153" s="403">
        <f t="shared" si="44"/>
        <v>2024</v>
      </c>
      <c r="L153" s="403">
        <f t="shared" si="44"/>
        <v>2025</v>
      </c>
      <c r="M153" s="860" t="s">
        <v>154</v>
      </c>
    </row>
    <row r="154" spans="2:13">
      <c r="B154" s="825" t="s">
        <v>80</v>
      </c>
      <c r="C154" s="825"/>
      <c r="D154" s="825"/>
      <c r="E154" s="825"/>
      <c r="F154" s="825"/>
      <c r="G154" s="404">
        <f>G58</f>
        <v>3665605.5299796979</v>
      </c>
      <c r="H154" s="405">
        <f t="shared" ref="H154:K154" si="45">H58</f>
        <v>5354979.547732681</v>
      </c>
      <c r="I154" s="405">
        <f t="shared" si="45"/>
        <v>6363752.3393513439</v>
      </c>
      <c r="J154" s="405">
        <f t="shared" si="45"/>
        <v>8017358.5236119572</v>
      </c>
      <c r="K154" s="406">
        <f t="shared" si="45"/>
        <v>10453292.226340644</v>
      </c>
      <c r="L154" s="406">
        <f>L58</f>
        <v>13796954.458138682</v>
      </c>
      <c r="M154" s="861"/>
    </row>
    <row r="155" spans="2:13">
      <c r="B155" s="824" t="s">
        <v>83</v>
      </c>
      <c r="C155" s="824"/>
      <c r="D155" s="824"/>
      <c r="E155" s="824"/>
      <c r="F155" s="824"/>
      <c r="G155" s="404">
        <f>+G63</f>
        <v>4131101.8</v>
      </c>
      <c r="H155" s="404">
        <f t="shared" ref="H155:K155" si="46">+H63</f>
        <v>4284745.16</v>
      </c>
      <c r="I155" s="404">
        <f t="shared" si="46"/>
        <v>4372413.9920000006</v>
      </c>
      <c r="J155" s="404">
        <f t="shared" si="46"/>
        <v>4396057.1903999997</v>
      </c>
      <c r="K155" s="407">
        <f t="shared" si="46"/>
        <v>4376004.8284799997</v>
      </c>
      <c r="L155" s="407">
        <f t="shared" ref="L155" si="47">+L63</f>
        <v>4312064.594176</v>
      </c>
      <c r="M155" s="861"/>
    </row>
    <row r="156" spans="2:13">
      <c r="B156" s="824" t="s">
        <v>140</v>
      </c>
      <c r="C156" s="824"/>
      <c r="D156" s="824"/>
      <c r="E156" s="824"/>
      <c r="F156" s="824"/>
      <c r="G156" s="404">
        <f>+G64</f>
        <v>68698.8</v>
      </c>
      <c r="H156" s="404">
        <f t="shared" ref="H156:K156" si="48">+H64</f>
        <v>72056.36</v>
      </c>
      <c r="I156" s="404">
        <f t="shared" si="48"/>
        <v>74590.631999999998</v>
      </c>
      <c r="J156" s="404">
        <f t="shared" si="48"/>
        <v>76349.758399999992</v>
      </c>
      <c r="K156" s="407">
        <f t="shared" si="48"/>
        <v>76195.310079999996</v>
      </c>
      <c r="L156" s="407">
        <f t="shared" ref="L156" si="49">+L64</f>
        <v>73578.172096000009</v>
      </c>
      <c r="M156" s="861"/>
    </row>
    <row r="157" spans="2:13">
      <c r="B157" s="825" t="s">
        <v>30</v>
      </c>
      <c r="C157" s="825"/>
      <c r="D157" s="825"/>
      <c r="E157" s="825"/>
      <c r="F157" s="825"/>
      <c r="G157" s="404">
        <f>+G154+G155+G156</f>
        <v>7865406.1299796971</v>
      </c>
      <c r="H157" s="404">
        <f t="shared" ref="H157:K157" si="50">+H154+H155+H156</f>
        <v>9711781.0677326806</v>
      </c>
      <c r="I157" s="404">
        <f t="shared" si="50"/>
        <v>10810756.963351343</v>
      </c>
      <c r="J157" s="404">
        <f t="shared" si="50"/>
        <v>12489765.472411957</v>
      </c>
      <c r="K157" s="407">
        <f t="shared" si="50"/>
        <v>14905492.364900643</v>
      </c>
      <c r="L157" s="407">
        <f t="shared" ref="L157" si="51">+L154+L155+L156</f>
        <v>18182597.224410683</v>
      </c>
      <c r="M157" s="861"/>
    </row>
    <row r="158" spans="2:13">
      <c r="B158" s="416"/>
      <c r="C158" s="416"/>
      <c r="D158" s="416"/>
      <c r="E158" s="416"/>
      <c r="F158" s="416"/>
      <c r="G158" s="416"/>
      <c r="H158" s="416"/>
      <c r="I158" s="416"/>
      <c r="J158" s="416"/>
      <c r="K158" s="416"/>
      <c r="L158" s="416"/>
      <c r="M158" s="861"/>
    </row>
    <row r="159" spans="2:13">
      <c r="B159" s="809" t="s">
        <v>117</v>
      </c>
      <c r="C159" s="809"/>
      <c r="D159" s="809"/>
      <c r="E159" s="809"/>
      <c r="F159" s="809"/>
      <c r="G159" s="402">
        <f t="shared" ref="G159:L159" si="52">G153</f>
        <v>2020</v>
      </c>
      <c r="H159" s="402">
        <f t="shared" si="52"/>
        <v>2021</v>
      </c>
      <c r="I159" s="402">
        <f t="shared" si="52"/>
        <v>2022</v>
      </c>
      <c r="J159" s="402">
        <f t="shared" si="52"/>
        <v>2023</v>
      </c>
      <c r="K159" s="403">
        <f t="shared" si="52"/>
        <v>2024</v>
      </c>
      <c r="L159" s="403">
        <f t="shared" si="52"/>
        <v>2025</v>
      </c>
      <c r="M159" s="861"/>
    </row>
    <row r="160" spans="2:13">
      <c r="B160" s="823" t="s">
        <v>109</v>
      </c>
      <c r="C160" s="823"/>
      <c r="D160" s="823"/>
      <c r="E160" s="823"/>
      <c r="F160" s="823"/>
      <c r="G160" s="417">
        <f>G97</f>
        <v>0.14813607502931275</v>
      </c>
      <c r="H160" s="417">
        <f t="shared" ref="H160:K160" si="53">H97</f>
        <v>0.14787864026285899</v>
      </c>
      <c r="I160" s="417">
        <f t="shared" si="53"/>
        <v>0.14716885294478735</v>
      </c>
      <c r="J160" s="417">
        <f t="shared" si="53"/>
        <v>0.14572834055574813</v>
      </c>
      <c r="K160" s="418">
        <f t="shared" si="53"/>
        <v>0.14479806424507582</v>
      </c>
      <c r="L160" s="418">
        <f t="shared" ref="L160" si="54">L97</f>
        <v>0.14372828424510031</v>
      </c>
      <c r="M160" s="861"/>
    </row>
    <row r="161" spans="2:13">
      <c r="B161" s="827" t="s">
        <v>110</v>
      </c>
      <c r="C161" s="827"/>
      <c r="D161" s="827"/>
      <c r="E161" s="827"/>
      <c r="F161" s="827"/>
      <c r="G161" s="417">
        <f>G98</f>
        <v>0.14813607502931275</v>
      </c>
      <c r="H161" s="419">
        <f t="shared" ref="H161:K161" si="55">H98</f>
        <v>0.31792087664138324</v>
      </c>
      <c r="I161" s="419">
        <f t="shared" si="55"/>
        <v>0.51187778032868425</v>
      </c>
      <c r="J161" s="419">
        <f t="shared" si="55"/>
        <v>0.7322012203790913</v>
      </c>
      <c r="K161" s="419">
        <f t="shared" si="55"/>
        <v>0.98302060397294189</v>
      </c>
      <c r="L161" s="419">
        <f t="shared" ref="L161" si="56">L98</f>
        <v>1.268036753004655</v>
      </c>
      <c r="M161" s="861"/>
    </row>
    <row r="162" spans="2:13">
      <c r="B162" s="408"/>
      <c r="C162" s="409"/>
      <c r="D162" s="409"/>
      <c r="E162" s="409"/>
      <c r="F162" s="409"/>
      <c r="G162" s="409"/>
      <c r="H162" s="409"/>
      <c r="I162" s="409"/>
      <c r="J162" s="409"/>
      <c r="K162" s="410"/>
      <c r="L162" s="410"/>
      <c r="M162" s="862"/>
    </row>
    <row r="163" spans="2:13">
      <c r="B163" s="826" t="s">
        <v>142</v>
      </c>
      <c r="C163" s="826"/>
      <c r="D163" s="826"/>
      <c r="E163" s="826"/>
      <c r="F163" s="826"/>
      <c r="G163" s="411">
        <f>+G157</f>
        <v>7865406.1299796971</v>
      </c>
      <c r="H163" s="411">
        <f t="shared" ref="H163:K163" si="57">+H157</f>
        <v>9711781.0677326806</v>
      </c>
      <c r="I163" s="411">
        <f t="shared" si="57"/>
        <v>10810756.963351343</v>
      </c>
      <c r="J163" s="411">
        <f t="shared" si="57"/>
        <v>12489765.472411957</v>
      </c>
      <c r="K163" s="411">
        <f t="shared" si="57"/>
        <v>14905492.364900643</v>
      </c>
      <c r="L163" s="411">
        <f t="shared" ref="L163" si="58">+L157</f>
        <v>18182597.224410683</v>
      </c>
      <c r="M163" s="861"/>
    </row>
    <row r="164" spans="2:13">
      <c r="B164" s="408"/>
      <c r="C164" s="409"/>
      <c r="D164" s="409"/>
      <c r="E164" s="409"/>
      <c r="F164" s="409"/>
      <c r="G164" s="409"/>
      <c r="H164" s="409"/>
      <c r="I164" s="409"/>
      <c r="J164" s="409"/>
      <c r="K164" s="410"/>
      <c r="L164" s="410"/>
      <c r="M164" s="862"/>
    </row>
    <row r="165" spans="2:13">
      <c r="B165" s="864" t="s">
        <v>113</v>
      </c>
      <c r="C165" s="864"/>
      <c r="D165" s="864"/>
      <c r="E165" s="864"/>
      <c r="F165" s="864"/>
      <c r="G165" s="412">
        <f>G163/(1+G161)</f>
        <v>6850587.0523917535</v>
      </c>
      <c r="H165" s="412">
        <f t="shared" ref="H165:K165" si="59">H163/(1+H161)</f>
        <v>7369016.7899019737</v>
      </c>
      <c r="I165" s="412">
        <f t="shared" si="59"/>
        <v>7150549.5378079237</v>
      </c>
      <c r="J165" s="412">
        <f t="shared" si="59"/>
        <v>7210343.3050800981</v>
      </c>
      <c r="K165" s="413">
        <f t="shared" si="59"/>
        <v>7516559.5027292147</v>
      </c>
      <c r="L165" s="413">
        <f t="shared" ref="L165" si="60">L163/(1+L161)</f>
        <v>8016888.2626450825</v>
      </c>
      <c r="M165" s="861"/>
    </row>
    <row r="166" spans="2:13">
      <c r="B166" s="416"/>
      <c r="C166" s="416"/>
      <c r="D166" s="416"/>
      <c r="E166" s="416"/>
      <c r="F166" s="416"/>
      <c r="G166" s="416"/>
      <c r="H166" s="416"/>
      <c r="I166" s="416"/>
      <c r="J166" s="416"/>
      <c r="K166" s="416"/>
      <c r="L166" s="416"/>
      <c r="M166" s="861"/>
    </row>
    <row r="167" spans="2:13">
      <c r="B167" s="823" t="s">
        <v>191</v>
      </c>
      <c r="C167" s="823"/>
      <c r="D167" s="823"/>
      <c r="E167" s="823"/>
      <c r="F167" s="823"/>
      <c r="G167" s="101">
        <f>SUM(H165:L165)</f>
        <v>37263357.398164295</v>
      </c>
      <c r="H167" s="101">
        <f>SUM(H165:L165)</f>
        <v>37263357.398164295</v>
      </c>
      <c r="I167" s="416"/>
      <c r="J167" s="416"/>
      <c r="K167" s="416"/>
      <c r="L167" s="416"/>
      <c r="M167" s="861"/>
    </row>
    <row r="168" spans="2:13">
      <c r="B168" s="416"/>
      <c r="C168" s="416"/>
      <c r="D168" s="416"/>
      <c r="E168" s="416"/>
      <c r="F168" s="416"/>
      <c r="G168" s="416"/>
      <c r="H168" s="416"/>
      <c r="I168" s="416"/>
      <c r="J168" s="416"/>
      <c r="K168" s="416"/>
      <c r="L168" s="416"/>
      <c r="M168" s="861"/>
    </row>
    <row r="169" spans="2:13">
      <c r="B169" s="823" t="s">
        <v>118</v>
      </c>
      <c r="C169" s="823"/>
      <c r="D169" s="823"/>
      <c r="E169" s="823"/>
      <c r="F169" s="823"/>
      <c r="G169" s="414">
        <f>G167</f>
        <v>37263357.398164295</v>
      </c>
      <c r="H169" s="414">
        <f>H167</f>
        <v>37263357.398164295</v>
      </c>
      <c r="I169" s="416"/>
      <c r="J169" s="416"/>
      <c r="K169" s="416"/>
      <c r="L169" s="416"/>
      <c r="M169" s="861"/>
    </row>
    <row r="170" spans="2:13">
      <c r="B170" s="823" t="s">
        <v>308</v>
      </c>
      <c r="C170" s="823"/>
      <c r="D170" s="823"/>
      <c r="E170" s="823"/>
      <c r="F170" s="823"/>
      <c r="G170" s="420">
        <f>G111</f>
        <v>10258271</v>
      </c>
      <c r="H170" s="420">
        <f>G111</f>
        <v>10258271</v>
      </c>
      <c r="I170" s="416"/>
      <c r="J170" s="416"/>
      <c r="K170" s="416"/>
      <c r="L170" s="416"/>
      <c r="M170" s="861"/>
    </row>
    <row r="171" spans="2:13">
      <c r="B171" s="823" t="s">
        <v>309</v>
      </c>
      <c r="C171" s="823"/>
      <c r="D171" s="823"/>
      <c r="E171" s="823"/>
      <c r="F171" s="823"/>
      <c r="G171" s="420">
        <f>G112</f>
        <v>21326398</v>
      </c>
      <c r="H171" s="420">
        <f>G112</f>
        <v>21326398</v>
      </c>
      <c r="I171" s="416"/>
      <c r="J171" s="416"/>
      <c r="K171" s="416"/>
      <c r="L171" s="416"/>
      <c r="M171" s="861"/>
    </row>
    <row r="172" spans="2:13">
      <c r="B172" s="823" t="s">
        <v>143</v>
      </c>
      <c r="C172" s="823"/>
      <c r="D172" s="823"/>
      <c r="E172" s="823"/>
      <c r="F172" s="823"/>
      <c r="G172" s="420">
        <f>G113</f>
        <v>1950000</v>
      </c>
      <c r="H172" s="420">
        <f>G113</f>
        <v>1950000</v>
      </c>
      <c r="I172" s="416"/>
      <c r="J172" s="416"/>
      <c r="K172" s="416"/>
      <c r="L172" s="416"/>
      <c r="M172" s="861"/>
    </row>
    <row r="173" spans="2:13">
      <c r="B173" s="823" t="s">
        <v>121</v>
      </c>
      <c r="C173" s="823"/>
      <c r="D173" s="823"/>
      <c r="E173" s="823"/>
      <c r="F173" s="823"/>
      <c r="G173" s="414">
        <f>G169-G170+G171-G172</f>
        <v>46381484.398164295</v>
      </c>
      <c r="H173" s="414">
        <f>H169-H170+H171-H172</f>
        <v>46381484.398164295</v>
      </c>
      <c r="I173" s="416"/>
      <c r="J173" s="416"/>
      <c r="K173" s="416"/>
      <c r="L173" s="416"/>
      <c r="M173" s="861"/>
    </row>
    <row r="174" spans="2:13">
      <c r="B174" s="416"/>
      <c r="C174" s="416"/>
      <c r="D174" s="416"/>
      <c r="E174" s="416"/>
      <c r="F174" s="416"/>
      <c r="G174" s="421"/>
      <c r="H174" s="421"/>
      <c r="I174" s="416"/>
      <c r="J174" s="416"/>
      <c r="K174" s="416"/>
      <c r="L174" s="416"/>
      <c r="M174" s="861"/>
    </row>
    <row r="175" spans="2:13">
      <c r="B175" s="823" t="s">
        <v>122</v>
      </c>
      <c r="C175" s="823"/>
      <c r="D175" s="823"/>
      <c r="E175" s="823"/>
      <c r="F175" s="823"/>
      <c r="G175" s="420">
        <f>'Estados Finan + Estrategia'!J76</f>
        <v>12216434</v>
      </c>
      <c r="H175" s="420">
        <f>'Estados Finan + Estrategia'!J76</f>
        <v>12216434</v>
      </c>
      <c r="I175" s="416"/>
      <c r="J175" s="416"/>
      <c r="K175" s="416"/>
      <c r="L175" s="416"/>
      <c r="M175" s="861"/>
    </row>
    <row r="176" spans="2:13">
      <c r="B176" s="416"/>
      <c r="C176" s="416"/>
      <c r="D176" s="416"/>
      <c r="E176" s="416"/>
      <c r="F176" s="416"/>
      <c r="G176" s="416"/>
      <c r="H176" s="416"/>
      <c r="I176" s="416"/>
      <c r="J176" s="416"/>
      <c r="K176" s="416"/>
      <c r="L176" s="416"/>
      <c r="M176" s="861"/>
    </row>
    <row r="177" spans="2:18">
      <c r="B177" s="823" t="s">
        <v>125</v>
      </c>
      <c r="C177" s="823"/>
      <c r="D177" s="823"/>
      <c r="E177" s="823"/>
      <c r="F177" s="823"/>
      <c r="G177" s="422">
        <f>G118</f>
        <v>1500000</v>
      </c>
      <c r="H177" s="422">
        <f>G118</f>
        <v>1500000</v>
      </c>
      <c r="I177" s="416"/>
      <c r="J177" s="416"/>
      <c r="K177" s="416"/>
      <c r="L177" s="416"/>
      <c r="M177" s="861"/>
    </row>
    <row r="178" spans="2:18">
      <c r="B178" s="823" t="s">
        <v>124</v>
      </c>
      <c r="C178" s="823"/>
      <c r="D178" s="823"/>
      <c r="E178" s="823"/>
      <c r="F178" s="823"/>
      <c r="G178" s="423">
        <f>G175/G177</f>
        <v>8.144289333333333</v>
      </c>
      <c r="H178" s="423">
        <f>G175/G177</f>
        <v>8.144289333333333</v>
      </c>
      <c r="I178" s="416"/>
      <c r="J178" s="416"/>
      <c r="K178" s="416"/>
      <c r="L178" s="416"/>
      <c r="M178" s="861"/>
    </row>
    <row r="179" spans="2:18">
      <c r="B179" s="823" t="s">
        <v>126</v>
      </c>
      <c r="C179" s="823"/>
      <c r="D179" s="823"/>
      <c r="E179" s="823"/>
      <c r="F179" s="823"/>
      <c r="G179" s="423">
        <f>G173/G177</f>
        <v>30.920989598776195</v>
      </c>
      <c r="H179" s="423">
        <f>G173/G177</f>
        <v>30.920989598776195</v>
      </c>
      <c r="I179" s="416"/>
      <c r="J179" s="416"/>
      <c r="K179" s="416"/>
      <c r="L179" s="416"/>
      <c r="M179" s="861"/>
    </row>
    <row r="180" spans="2:18" ht="16.5" thickBot="1">
      <c r="B180" s="859" t="s">
        <v>123</v>
      </c>
      <c r="C180" s="859"/>
      <c r="D180" s="859"/>
      <c r="E180" s="859"/>
      <c r="F180" s="859"/>
      <c r="G180" s="415">
        <f>G179/G178</f>
        <v>3.7966467463553024</v>
      </c>
      <c r="H180" s="415">
        <f>G179/G178</f>
        <v>3.7966467463553024</v>
      </c>
      <c r="I180" s="416"/>
      <c r="J180" s="416"/>
      <c r="K180" s="416"/>
      <c r="L180" s="416"/>
      <c r="M180" s="863"/>
    </row>
    <row r="184" spans="2:18" ht="15.75" thickBot="1"/>
    <row r="185" spans="2:18" ht="15" customHeight="1">
      <c r="B185" s="711" t="s">
        <v>184</v>
      </c>
      <c r="C185" s="712"/>
      <c r="D185" s="712"/>
      <c r="E185" s="712"/>
      <c r="F185" s="712"/>
      <c r="G185" s="712"/>
      <c r="H185" s="712"/>
      <c r="I185" s="712"/>
      <c r="J185" s="712"/>
      <c r="K185" s="712"/>
      <c r="L185" s="713"/>
    </row>
    <row r="186" spans="2:18" ht="15" customHeight="1" thickBot="1">
      <c r="B186" s="714"/>
      <c r="C186" s="715"/>
      <c r="D186" s="715"/>
      <c r="E186" s="715"/>
      <c r="F186" s="715"/>
      <c r="G186" s="715"/>
      <c r="H186" s="715"/>
      <c r="I186" s="715"/>
      <c r="J186" s="715"/>
      <c r="K186" s="715"/>
      <c r="L186" s="716"/>
    </row>
    <row r="187" spans="2:18" ht="45.75" thickBot="1">
      <c r="B187" s="850" t="s">
        <v>147</v>
      </c>
      <c r="C187" s="850"/>
      <c r="D187" s="850"/>
      <c r="E187" s="850"/>
      <c r="F187" s="850"/>
      <c r="G187" s="306" t="s">
        <v>146</v>
      </c>
      <c r="H187" s="306" t="s">
        <v>148</v>
      </c>
      <c r="I187" s="306" t="s">
        <v>149</v>
      </c>
      <c r="J187" s="307" t="s">
        <v>123</v>
      </c>
      <c r="K187" s="306" t="s">
        <v>150</v>
      </c>
      <c r="L187" s="306" t="s">
        <v>151</v>
      </c>
      <c r="P187" s="308" t="s">
        <v>230</v>
      </c>
      <c r="Q187" s="308" t="s">
        <v>231</v>
      </c>
      <c r="R187" s="308" t="s">
        <v>147</v>
      </c>
    </row>
    <row r="188" spans="2:18">
      <c r="B188" s="813" t="s">
        <v>153</v>
      </c>
      <c r="C188" s="813"/>
      <c r="D188" s="813"/>
      <c r="E188" s="813"/>
      <c r="F188" s="813"/>
      <c r="G188" s="249">
        <f>K131</f>
        <v>17056162.465320822</v>
      </c>
      <c r="H188" s="250">
        <f>+$G$175</f>
        <v>12216434</v>
      </c>
      <c r="I188" s="250">
        <f>G188-H188</f>
        <v>4839728.4653208219</v>
      </c>
      <c r="J188" s="251">
        <f>+G188/H188</f>
        <v>1.3961654002568034</v>
      </c>
      <c r="K188" s="251">
        <v>0.67</v>
      </c>
      <c r="L188" s="252">
        <f>+J188-K188</f>
        <v>0.72616540025680332</v>
      </c>
      <c r="M188" s="328"/>
      <c r="N188" s="328"/>
      <c r="O188" s="328"/>
      <c r="P188" s="343" t="s">
        <v>229</v>
      </c>
      <c r="Q188" s="103">
        <f>+AVERAGE(G190:G191)</f>
        <v>93140436.525109529</v>
      </c>
      <c r="R188" s="4" t="s">
        <v>234</v>
      </c>
    </row>
    <row r="189" spans="2:18" ht="15.75" thickBot="1">
      <c r="B189" s="813" t="s">
        <v>152</v>
      </c>
      <c r="C189" s="813"/>
      <c r="D189" s="813"/>
      <c r="E189" s="813"/>
      <c r="F189" s="813"/>
      <c r="G189" s="253">
        <f>K141</f>
        <v>19123044.327695593</v>
      </c>
      <c r="H189" s="346">
        <f t="shared" ref="H189:H191" si="61">+$G$175</f>
        <v>12216434</v>
      </c>
      <c r="I189" s="346">
        <f t="shared" ref="I189:I191" si="62">G189-H189</f>
        <v>6906610.3276955932</v>
      </c>
      <c r="J189" s="104">
        <f t="shared" ref="J189:J191" si="63">+G189/H189</f>
        <v>1.565354040933352</v>
      </c>
      <c r="K189" s="104">
        <v>0.67</v>
      </c>
      <c r="L189" s="254">
        <f t="shared" ref="L189:L191" si="64">+J189-K189</f>
        <v>0.89535404093335191</v>
      </c>
      <c r="M189" s="328"/>
      <c r="N189" s="328"/>
      <c r="O189" s="328"/>
      <c r="P189" s="343" t="s">
        <v>227</v>
      </c>
      <c r="Q189" s="346">
        <f>+M190</f>
        <v>55615019.960808866</v>
      </c>
      <c r="R189" s="4" t="s">
        <v>233</v>
      </c>
    </row>
    <row r="190" spans="2:18" ht="16.5" customHeight="1" thickBot="1">
      <c r="B190" s="813" t="s">
        <v>30</v>
      </c>
      <c r="C190" s="813"/>
      <c r="D190" s="813"/>
      <c r="E190" s="813"/>
      <c r="F190" s="813"/>
      <c r="G190" s="255">
        <f>G173</f>
        <v>46381484.398164295</v>
      </c>
      <c r="H190" s="346">
        <f t="shared" si="61"/>
        <v>12216434</v>
      </c>
      <c r="I190" s="346">
        <f t="shared" si="62"/>
        <v>34165050.398164295</v>
      </c>
      <c r="J190" s="104">
        <f t="shared" si="63"/>
        <v>3.7966467463553024</v>
      </c>
      <c r="K190" s="104">
        <v>0.67</v>
      </c>
      <c r="L190" s="254">
        <f t="shared" si="64"/>
        <v>3.1266467463553025</v>
      </c>
      <c r="M190" s="752">
        <f>+AVERAGE(G188:G191)</f>
        <v>55615019.960808866</v>
      </c>
      <c r="N190" s="680"/>
      <c r="O190" s="241">
        <f>+M190/G175</f>
        <v>4.552475784734634</v>
      </c>
      <c r="P190" s="343" t="s">
        <v>228</v>
      </c>
      <c r="Q190" s="346">
        <f>+AVERAGE(G188:G189)</f>
        <v>18089603.396508209</v>
      </c>
      <c r="R190" s="4" t="s">
        <v>232</v>
      </c>
    </row>
    <row r="191" spans="2:18" ht="15.75" customHeight="1" thickBot="1">
      <c r="B191" s="813" t="s">
        <v>145</v>
      </c>
      <c r="C191" s="813"/>
      <c r="D191" s="813"/>
      <c r="E191" s="813"/>
      <c r="F191" s="813"/>
      <c r="G191" s="256">
        <f>G114</f>
        <v>139899388.65205476</v>
      </c>
      <c r="H191" s="257">
        <f t="shared" si="61"/>
        <v>12216434</v>
      </c>
      <c r="I191" s="257">
        <f t="shared" si="62"/>
        <v>127682954.65205476</v>
      </c>
      <c r="J191" s="258">
        <f t="shared" si="63"/>
        <v>11.451736951393078</v>
      </c>
      <c r="K191" s="258">
        <v>0.67</v>
      </c>
      <c r="L191" s="259">
        <f t="shared" si="64"/>
        <v>10.781736951393079</v>
      </c>
      <c r="M191" s="753"/>
      <c r="N191" s="682"/>
      <c r="O191" s="242" t="s">
        <v>193</v>
      </c>
      <c r="P191" s="328"/>
      <c r="Q191" s="328"/>
      <c r="R191" s="328"/>
    </row>
    <row r="192" spans="2:18" ht="15.75" thickBot="1">
      <c r="I192" s="96"/>
      <c r="M192" s="43"/>
    </row>
    <row r="193" spans="2:12">
      <c r="B193" s="851" t="s">
        <v>29</v>
      </c>
      <c r="C193" s="852"/>
      <c r="D193" s="852"/>
      <c r="E193" s="852"/>
      <c r="F193" s="853"/>
      <c r="G193" s="243">
        <f>M190/'Estados Finan + Estrategia'!J85</f>
        <v>1.1748054534445111</v>
      </c>
      <c r="K193" s="112"/>
    </row>
    <row r="194" spans="2:12">
      <c r="B194" s="854" t="s">
        <v>259</v>
      </c>
      <c r="C194" s="822"/>
      <c r="D194" s="822"/>
      <c r="E194" s="822"/>
      <c r="F194" s="855"/>
      <c r="G194" s="244">
        <f>M190/'Estados Finan + Estrategia'!J98</f>
        <v>29.076358657687948</v>
      </c>
      <c r="K194" s="43"/>
    </row>
    <row r="195" spans="2:12" ht="15.75" thickBot="1">
      <c r="B195" s="856" t="s">
        <v>30</v>
      </c>
      <c r="C195" s="857"/>
      <c r="D195" s="857"/>
      <c r="E195" s="857"/>
      <c r="F195" s="858"/>
      <c r="G195" s="245">
        <f>M190/('Estados Finan + Estrategia'!J98+'Estados Finan + Estrategia'!J97+'Estados Finan + Estrategia'!J94+'Estados Finan + Estrategia'!J103+'Estados Finan + Estrategia'!J104)</f>
        <v>6.6387056827382454</v>
      </c>
    </row>
    <row r="196" spans="2:12" ht="15.75" thickBot="1"/>
    <row r="197" spans="2:12">
      <c r="B197" s="832" t="s">
        <v>185</v>
      </c>
      <c r="C197" s="833"/>
      <c r="D197" s="833"/>
      <c r="E197" s="833"/>
      <c r="F197" s="833"/>
      <c r="G197" s="833"/>
      <c r="H197" s="833"/>
      <c r="I197" s="833"/>
      <c r="J197" s="833"/>
      <c r="K197" s="833"/>
      <c r="L197" s="834"/>
    </row>
    <row r="198" spans="2:12" ht="15.75" thickBot="1">
      <c r="B198" s="835"/>
      <c r="C198" s="836"/>
      <c r="D198" s="836"/>
      <c r="E198" s="836"/>
      <c r="F198" s="836"/>
      <c r="G198" s="836"/>
      <c r="H198" s="836"/>
      <c r="I198" s="836"/>
      <c r="J198" s="836"/>
      <c r="K198" s="836"/>
      <c r="L198" s="837"/>
    </row>
    <row r="199" spans="2:12" ht="32.25" thickBot="1">
      <c r="B199" s="838" t="s">
        <v>147</v>
      </c>
      <c r="C199" s="839"/>
      <c r="D199" s="839"/>
      <c r="E199" s="839"/>
      <c r="F199" s="840"/>
      <c r="G199" s="316" t="s">
        <v>186</v>
      </c>
      <c r="H199" s="317" t="s">
        <v>187</v>
      </c>
      <c r="I199" s="318" t="s">
        <v>151</v>
      </c>
      <c r="J199" s="318" t="s">
        <v>150</v>
      </c>
      <c r="K199" s="318" t="s">
        <v>151</v>
      </c>
      <c r="L199" s="318" t="s">
        <v>188</v>
      </c>
    </row>
    <row r="200" spans="2:12">
      <c r="B200" s="841" t="s">
        <v>153</v>
      </c>
      <c r="C200" s="842"/>
      <c r="D200" s="842"/>
      <c r="E200" s="842"/>
      <c r="F200" s="843"/>
      <c r="G200" s="313">
        <f>+'Valoración Sin Estrategia'!J188</f>
        <v>1.4175309588488199</v>
      </c>
      <c r="H200" s="313">
        <f>+J188</f>
        <v>1.3961654002568034</v>
      </c>
      <c r="I200" s="313">
        <f>H200-G200</f>
        <v>-2.1365558592016498E-2</v>
      </c>
      <c r="J200" s="313">
        <v>0.67</v>
      </c>
      <c r="K200" s="314">
        <f>+H200-J200</f>
        <v>0.72616540025680332</v>
      </c>
      <c r="L200" s="315">
        <f>I188-'Valoración Sin Estrategia'!I188</f>
        <v>-261010.93641250208</v>
      </c>
    </row>
    <row r="201" spans="2:12">
      <c r="B201" s="847" t="s">
        <v>152</v>
      </c>
      <c r="C201" s="848"/>
      <c r="D201" s="848"/>
      <c r="E201" s="848"/>
      <c r="F201" s="849"/>
      <c r="G201" s="244">
        <f>+'Valoración Sin Estrategia'!J189</f>
        <v>1.5893086980768822</v>
      </c>
      <c r="H201" s="244">
        <f t="shared" ref="H201:H203" si="65">+J189</f>
        <v>1.565354040933352</v>
      </c>
      <c r="I201" s="244">
        <f t="shared" ref="I201:I203" si="66">H201-G201</f>
        <v>-2.3954657143530289E-2</v>
      </c>
      <c r="J201" s="244">
        <f t="shared" ref="J201:J203" si="67">+K189</f>
        <v>0.67</v>
      </c>
      <c r="K201" s="309">
        <f t="shared" ref="K201:K203" si="68">+H201-J201</f>
        <v>0.89535404093335191</v>
      </c>
      <c r="L201" s="311">
        <f>I189-'Valoración Sin Estrategia'!I189</f>
        <v>-292640.48798656464</v>
      </c>
    </row>
    <row r="202" spans="2:12">
      <c r="B202" s="847" t="s">
        <v>30</v>
      </c>
      <c r="C202" s="848"/>
      <c r="D202" s="848"/>
      <c r="E202" s="848"/>
      <c r="F202" s="849"/>
      <c r="G202" s="244">
        <f>+'Valoración Sin Estrategia'!J190</f>
        <v>3.7748086496637328</v>
      </c>
      <c r="H202" s="244">
        <f t="shared" si="65"/>
        <v>3.7966467463553024</v>
      </c>
      <c r="I202" s="244">
        <f t="shared" si="66"/>
        <v>2.1838096691569664E-2</v>
      </c>
      <c r="J202" s="244">
        <f t="shared" si="67"/>
        <v>0.67</v>
      </c>
      <c r="K202" s="309">
        <f t="shared" si="68"/>
        <v>3.1266467463553025</v>
      </c>
      <c r="L202" s="311">
        <f>I190-'Valoración Sin Estrategia'!I190</f>
        <v>266783.66691818088</v>
      </c>
    </row>
    <row r="203" spans="2:12" ht="15.75" thickBot="1">
      <c r="B203" s="844" t="s">
        <v>145</v>
      </c>
      <c r="C203" s="845"/>
      <c r="D203" s="845"/>
      <c r="E203" s="845"/>
      <c r="F203" s="846"/>
      <c r="G203" s="245">
        <f>+'Valoración Sin Estrategia'!J191</f>
        <v>3.0847415672665224</v>
      </c>
      <c r="H203" s="245">
        <f t="shared" si="65"/>
        <v>11.451736951393078</v>
      </c>
      <c r="I203" s="245">
        <f t="shared" si="66"/>
        <v>8.3669953841265556</v>
      </c>
      <c r="J203" s="245">
        <f t="shared" si="67"/>
        <v>0.67</v>
      </c>
      <c r="K203" s="310">
        <f t="shared" si="68"/>
        <v>10.781736951393079</v>
      </c>
      <c r="L203" s="312">
        <f>I191-'Valoración Sin Estrategia'!I191</f>
        <v>102214846.88848673</v>
      </c>
    </row>
  </sheetData>
  <mergeCells count="142">
    <mergeCell ref="M96:M121"/>
    <mergeCell ref="B150:K151"/>
    <mergeCell ref="B197:L198"/>
    <mergeCell ref="B199:F199"/>
    <mergeCell ref="B200:F200"/>
    <mergeCell ref="B203:F203"/>
    <mergeCell ref="B201:F201"/>
    <mergeCell ref="B202:F202"/>
    <mergeCell ref="B191:F191"/>
    <mergeCell ref="B185:L186"/>
    <mergeCell ref="B187:F187"/>
    <mergeCell ref="B188:F188"/>
    <mergeCell ref="B189:F189"/>
    <mergeCell ref="B190:F190"/>
    <mergeCell ref="B193:F193"/>
    <mergeCell ref="B194:F194"/>
    <mergeCell ref="B195:F195"/>
    <mergeCell ref="B180:F180"/>
    <mergeCell ref="M153:M180"/>
    <mergeCell ref="B172:F172"/>
    <mergeCell ref="B173:F173"/>
    <mergeCell ref="B175:F175"/>
    <mergeCell ref="B165:F165"/>
    <mergeCell ref="B167:F167"/>
    <mergeCell ref="B177:F177"/>
    <mergeCell ref="B178:F178"/>
    <mergeCell ref="B179:F179"/>
    <mergeCell ref="B155:F155"/>
    <mergeCell ref="B156:F156"/>
    <mergeCell ref="B157:F157"/>
    <mergeCell ref="B154:F154"/>
    <mergeCell ref="B169:F169"/>
    <mergeCell ref="B170:F170"/>
    <mergeCell ref="B171:F171"/>
    <mergeCell ref="B163:F163"/>
    <mergeCell ref="B161:F161"/>
    <mergeCell ref="B160:F160"/>
    <mergeCell ref="B153:F153"/>
    <mergeCell ref="B159:F159"/>
    <mergeCell ref="B104:F104"/>
    <mergeCell ref="B106:F106"/>
    <mergeCell ref="B107:F107"/>
    <mergeCell ref="B108:F108"/>
    <mergeCell ref="B96:F96"/>
    <mergeCell ref="B97:F97"/>
    <mergeCell ref="B98:F98"/>
    <mergeCell ref="B100:F100"/>
    <mergeCell ref="B101:F101"/>
    <mergeCell ref="B103:F103"/>
    <mergeCell ref="B118:F118"/>
    <mergeCell ref="B119:F119"/>
    <mergeCell ref="B120:F120"/>
    <mergeCell ref="B121:F121"/>
    <mergeCell ref="B110:F110"/>
    <mergeCell ref="B111:F111"/>
    <mergeCell ref="B112:F112"/>
    <mergeCell ref="B113:F113"/>
    <mergeCell ref="B114:F114"/>
    <mergeCell ref="B116:F116"/>
    <mergeCell ref="B138:F138"/>
    <mergeCell ref="B139:F139"/>
    <mergeCell ref="M128:M143"/>
    <mergeCell ref="G89:J89"/>
    <mergeCell ref="G90:J90"/>
    <mergeCell ref="N90:O93"/>
    <mergeCell ref="G91:J91"/>
    <mergeCell ref="G92:J92"/>
    <mergeCell ref="G93:J93"/>
    <mergeCell ref="G80:J80"/>
    <mergeCell ref="G81:J81"/>
    <mergeCell ref="G84:J84"/>
    <mergeCell ref="G85:J85"/>
    <mergeCell ref="N85:O87"/>
    <mergeCell ref="G86:J86"/>
    <mergeCell ref="G87:J87"/>
    <mergeCell ref="B125:K126"/>
    <mergeCell ref="B129:F129"/>
    <mergeCell ref="B130:F130"/>
    <mergeCell ref="B131:F131"/>
    <mergeCell ref="B132:F132"/>
    <mergeCell ref="B133:F133"/>
    <mergeCell ref="B143:F143"/>
    <mergeCell ref="B142:F142"/>
    <mergeCell ref="B141:F141"/>
    <mergeCell ref="B128:F128"/>
    <mergeCell ref="B140:F140"/>
    <mergeCell ref="C66:F66"/>
    <mergeCell ref="C68:F68"/>
    <mergeCell ref="C69:F69"/>
    <mergeCell ref="C70:F70"/>
    <mergeCell ref="C72:F72"/>
    <mergeCell ref="B75:K76"/>
    <mergeCell ref="C58:F58"/>
    <mergeCell ref="C60:F60"/>
    <mergeCell ref="C61:F61"/>
    <mergeCell ref="C63:F63"/>
    <mergeCell ref="C64:F64"/>
    <mergeCell ref="C65:F65"/>
    <mergeCell ref="B74:E74"/>
    <mergeCell ref="C54:F54"/>
    <mergeCell ref="C55:F55"/>
    <mergeCell ref="C56:F56"/>
    <mergeCell ref="C57:F57"/>
    <mergeCell ref="B40:F40"/>
    <mergeCell ref="B41:F41"/>
    <mergeCell ref="B42:F42"/>
    <mergeCell ref="B44:F44"/>
    <mergeCell ref="B46:F46"/>
    <mergeCell ref="B47:F47"/>
    <mergeCell ref="B18:G18"/>
    <mergeCell ref="B20:F20"/>
    <mergeCell ref="H20:H25"/>
    <mergeCell ref="B21:F21"/>
    <mergeCell ref="B22:F22"/>
    <mergeCell ref="B24:F24"/>
    <mergeCell ref="B25:F25"/>
    <mergeCell ref="B49:F49"/>
    <mergeCell ref="B51:K52"/>
    <mergeCell ref="M190:N191"/>
    <mergeCell ref="B1:R2"/>
    <mergeCell ref="B3:R3"/>
    <mergeCell ref="B4:R4"/>
    <mergeCell ref="B5:R5"/>
    <mergeCell ref="B6:R6"/>
    <mergeCell ref="B7:G7"/>
    <mergeCell ref="B8:G8"/>
    <mergeCell ref="J8:O8"/>
    <mergeCell ref="B9:F9"/>
    <mergeCell ref="B10:F10"/>
    <mergeCell ref="H10:H15"/>
    <mergeCell ref="B11:F11"/>
    <mergeCell ref="B12:F12"/>
    <mergeCell ref="B14:F14"/>
    <mergeCell ref="B15:F15"/>
    <mergeCell ref="B27:F27"/>
    <mergeCell ref="B30:F30"/>
    <mergeCell ref="B33:F33"/>
    <mergeCell ref="B34:F34"/>
    <mergeCell ref="B35:F35"/>
    <mergeCell ref="B37:F37"/>
    <mergeCell ref="B17:F17"/>
    <mergeCell ref="H17:H1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B5B32307EDFE48AD15B426AB537D24" ma:contentTypeVersion="13" ma:contentTypeDescription="Crear nuevo documento." ma:contentTypeScope="" ma:versionID="4ce4add43a1fe779a2ca384a48c23099">
  <xsd:schema xmlns:xsd="http://www.w3.org/2001/XMLSchema" xmlns:xs="http://www.w3.org/2001/XMLSchema" xmlns:p="http://schemas.microsoft.com/office/2006/metadata/properties" xmlns:ns3="5de40c2b-e145-4d5c-8756-4cabd5724d9a" xmlns:ns4="80e42bf9-a904-45d9-9e2a-ea4471492b24" targetNamespace="http://schemas.microsoft.com/office/2006/metadata/properties" ma:root="true" ma:fieldsID="3b1d29dddac6b2eb4cc513dc2f8525f6" ns3:_="" ns4:_="">
    <xsd:import namespace="5de40c2b-e145-4d5c-8756-4cabd5724d9a"/>
    <xsd:import namespace="80e42bf9-a904-45d9-9e2a-ea4471492b2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e40c2b-e145-4d5c-8756-4cabd5724d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e42bf9-a904-45d9-9e2a-ea4471492b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700734-662F-4D16-9A47-C3F6F6588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e40c2b-e145-4d5c-8756-4cabd5724d9a"/>
    <ds:schemaRef ds:uri="80e42bf9-a904-45d9-9e2a-ea4471492b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BD5F2-DC70-489A-BA2F-3E93554CC611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0e42bf9-a904-45d9-9e2a-ea4471492b24"/>
    <ds:schemaRef ds:uri="5de40c2b-e145-4d5c-8756-4cabd5724d9a"/>
  </ds:schemaRefs>
</ds:datastoreItem>
</file>

<file path=customXml/itemProps3.xml><?xml version="1.0" encoding="utf-8"?>
<ds:datastoreItem xmlns:ds="http://schemas.openxmlformats.org/officeDocument/2006/customXml" ds:itemID="{04C66C20-0FAD-4C54-8E7B-1A469F176B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Cifras Historicas</vt:lpstr>
      <vt:lpstr>Analisis Financiero</vt:lpstr>
      <vt:lpstr>Valoración Sin Estrategia</vt:lpstr>
      <vt:lpstr>Estrategias Operativas</vt:lpstr>
      <vt:lpstr>Estados Finan + Estrategia</vt:lpstr>
      <vt:lpstr>Valoración + Estrategia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Ferrin</dc:creator>
  <cp:lastModifiedBy>Marbelis Contreras Barba</cp:lastModifiedBy>
  <cp:lastPrinted>2021-01-23T17:40:37Z</cp:lastPrinted>
  <dcterms:created xsi:type="dcterms:W3CDTF">2017-10-24T00:08:46Z</dcterms:created>
  <dcterms:modified xsi:type="dcterms:W3CDTF">2021-06-30T23:01:28Z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0x0101004AB5B32307EDFE48AD15B426AB537D24</vt:lpwstr>
  </property>
</Properties>
</file>