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belcorpbiz-my.sharepoint.com/personal/comcontreras_belcorp_biz/Documents/Desktop/Trabajo de grado/"/>
    </mc:Choice>
  </mc:AlternateContent>
  <bookViews>
    <workbookView xWindow="0" yWindow="0" windowWidth="20490" windowHeight="7620"/>
  </bookViews>
  <sheets>
    <sheet name="Estados Financieros" sheetId="8" r:id="rId1"/>
    <sheet name="Flujo de Caja" sheetId="5" r:id="rId2"/>
    <sheet name="Inductores Operativos y Financi" sheetId="4" r:id="rId3"/>
    <sheet name="Razones Financieras" sheetId="7" r:id="rId4"/>
    <sheet name="Inductores de Rentabilidad" sheetId="3" r:id="rId5"/>
    <sheet name="Informe" sheetId="10" r:id="rId6"/>
  </sheets>
  <externalReferences>
    <externalReference r:id="rId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7" l="1"/>
  <c r="F34" i="7"/>
  <c r="E34" i="7"/>
  <c r="D34" i="7"/>
  <c r="C34" i="7"/>
  <c r="G33" i="7" l="1"/>
  <c r="F33" i="7"/>
  <c r="E33" i="7"/>
  <c r="D33" i="7"/>
  <c r="C33" i="7"/>
  <c r="C12" i="3" l="1"/>
  <c r="D12" i="3"/>
  <c r="D35" i="3" s="1"/>
  <c r="C28" i="3"/>
  <c r="D28" i="3"/>
  <c r="C35" i="3"/>
  <c r="C49" i="3"/>
  <c r="D49" i="3"/>
  <c r="C54" i="3"/>
  <c r="C56" i="3" l="1"/>
  <c r="D56" i="3"/>
  <c r="G77" i="8" l="1"/>
  <c r="F77" i="8"/>
  <c r="E77" i="8"/>
  <c r="D77" i="8"/>
  <c r="G76" i="8"/>
  <c r="F76" i="8"/>
  <c r="E76" i="8"/>
  <c r="D76" i="8"/>
  <c r="C77" i="8"/>
  <c r="C76" i="8"/>
  <c r="F46" i="8"/>
  <c r="E46" i="8"/>
  <c r="D46" i="8"/>
  <c r="C46" i="8"/>
  <c r="G9" i="5" l="1"/>
  <c r="F9" i="5"/>
  <c r="E9" i="5"/>
  <c r="D9" i="5"/>
  <c r="G8" i="5"/>
  <c r="F8" i="5"/>
  <c r="E8" i="5"/>
  <c r="D8" i="5"/>
  <c r="C9" i="5"/>
  <c r="C8" i="5"/>
  <c r="D26" i="4"/>
  <c r="E26" i="4"/>
  <c r="F26" i="4"/>
  <c r="G26" i="4"/>
  <c r="D27" i="4"/>
  <c r="E27" i="4"/>
  <c r="F27" i="4"/>
  <c r="G27" i="4"/>
  <c r="C27" i="4"/>
  <c r="C26" i="4"/>
  <c r="G20" i="4"/>
  <c r="F20" i="4"/>
  <c r="E20" i="4"/>
  <c r="D20" i="4"/>
  <c r="G19" i="4"/>
  <c r="F19" i="4"/>
  <c r="E19" i="4"/>
  <c r="D19" i="4"/>
  <c r="C20" i="4"/>
  <c r="C19" i="4"/>
  <c r="E75" i="8" l="1"/>
  <c r="F75" i="8"/>
  <c r="C24" i="4"/>
  <c r="D24" i="4"/>
  <c r="E12" i="3"/>
  <c r="E24" i="4" s="1"/>
  <c r="F12" i="3"/>
  <c r="F24" i="4" s="1"/>
  <c r="G12" i="3"/>
  <c r="G24" i="4" s="1"/>
  <c r="G41" i="8"/>
  <c r="F41" i="8"/>
  <c r="B54" i="8"/>
  <c r="C56" i="8"/>
  <c r="C75" i="8" s="1"/>
  <c r="D56" i="8"/>
  <c r="D75" i="8" s="1"/>
  <c r="E56" i="8"/>
  <c r="F56" i="8"/>
  <c r="G56" i="8"/>
  <c r="G75" i="8" s="1"/>
  <c r="E41" i="8"/>
  <c r="D41" i="8"/>
  <c r="C41" i="8"/>
  <c r="F56" i="3" l="1"/>
  <c r="G56" i="3"/>
  <c r="E56" i="3"/>
  <c r="D14" i="4" l="1"/>
  <c r="C14" i="4"/>
  <c r="E49" i="3"/>
  <c r="F49" i="3"/>
  <c r="G14" i="4"/>
  <c r="G49" i="3"/>
  <c r="E14" i="4"/>
  <c r="F14" i="4"/>
  <c r="E35" i="3"/>
  <c r="F35" i="3"/>
  <c r="G35" i="3"/>
  <c r="G28" i="3"/>
  <c r="F28" i="3"/>
  <c r="E28" i="3"/>
  <c r="G33" i="4" l="1"/>
  <c r="G64" i="4" s="1"/>
  <c r="G73" i="4" s="1"/>
  <c r="G89" i="4" s="1"/>
  <c r="G107" i="4" s="1"/>
  <c r="G4" i="5"/>
  <c r="G5" i="7" s="1"/>
  <c r="G14" i="7" s="1"/>
  <c r="G21" i="7" s="1"/>
  <c r="G27" i="7" s="1"/>
  <c r="F33" i="4"/>
  <c r="F64" i="4" s="1"/>
  <c r="F73" i="4" s="1"/>
  <c r="F89" i="4" s="1"/>
  <c r="F107" i="4" s="1"/>
  <c r="F4" i="5"/>
  <c r="F5" i="7" s="1"/>
  <c r="F14" i="7" s="1"/>
  <c r="F21" i="7" s="1"/>
  <c r="F27" i="7" s="1"/>
  <c r="E33" i="4"/>
  <c r="E64" i="4" s="1"/>
  <c r="E73" i="4" s="1"/>
  <c r="E89" i="4" s="1"/>
  <c r="E107" i="4" s="1"/>
  <c r="E4" i="5"/>
  <c r="E5" i="7" s="1"/>
  <c r="E14" i="7" s="1"/>
  <c r="E21" i="7" s="1"/>
  <c r="E27" i="7" s="1"/>
  <c r="D33" i="4"/>
  <c r="D64" i="4" s="1"/>
  <c r="D73" i="4" s="1"/>
  <c r="D89" i="4" s="1"/>
  <c r="D107" i="4" s="1"/>
  <c r="D4" i="5"/>
  <c r="D5" i="7" s="1"/>
  <c r="D14" i="7" s="1"/>
  <c r="D21" i="7" s="1"/>
  <c r="D27" i="7" s="1"/>
  <c r="C33" i="4"/>
  <c r="C64" i="4" s="1"/>
  <c r="C73" i="4" s="1"/>
  <c r="C89" i="4" s="1"/>
  <c r="C107" i="4" s="1"/>
  <c r="C4" i="5"/>
  <c r="C5" i="7" s="1"/>
  <c r="C14" i="7" s="1"/>
  <c r="C21" i="7" s="1"/>
  <c r="C27" i="7" s="1"/>
  <c r="C69" i="8" l="1"/>
  <c r="C65" i="8"/>
  <c r="C67" i="8"/>
  <c r="C17" i="4" s="1"/>
  <c r="C66" i="8"/>
  <c r="C63" i="8"/>
  <c r="C62" i="8"/>
  <c r="C59" i="8"/>
  <c r="C58" i="8"/>
  <c r="C33" i="3" s="1"/>
  <c r="C34" i="4" l="1"/>
  <c r="C74" i="4" s="1"/>
  <c r="C90" i="4" s="1"/>
  <c r="C61" i="8"/>
  <c r="C16" i="4"/>
  <c r="C6" i="5"/>
  <c r="G66" i="8"/>
  <c r="G63" i="8"/>
  <c r="F66" i="8"/>
  <c r="F63" i="8"/>
  <c r="C64" i="8" l="1"/>
  <c r="C29" i="3" s="1"/>
  <c r="C7" i="7"/>
  <c r="D63" i="8"/>
  <c r="D65" i="8"/>
  <c r="D69" i="8"/>
  <c r="D67" i="8"/>
  <c r="D17" i="4" s="1"/>
  <c r="D66" i="8"/>
  <c r="D62" i="8"/>
  <c r="D59" i="8"/>
  <c r="D58" i="8"/>
  <c r="D33" i="3" s="1"/>
  <c r="C36" i="3" l="1"/>
  <c r="C38" i="3" s="1"/>
  <c r="D6" i="5"/>
  <c r="D16" i="4"/>
  <c r="D34" i="4"/>
  <c r="D74" i="4" s="1"/>
  <c r="D90" i="4" s="1"/>
  <c r="D61" i="8"/>
  <c r="C25" i="4"/>
  <c r="C28" i="4" s="1"/>
  <c r="C8" i="7"/>
  <c r="C5" i="5"/>
  <c r="C7" i="5" s="1"/>
  <c r="C10" i="5" s="1"/>
  <c r="C13" i="5" s="1"/>
  <c r="C68" i="8"/>
  <c r="C30" i="3" s="1"/>
  <c r="C31" i="3" s="1"/>
  <c r="C57" i="3" s="1"/>
  <c r="E69" i="8"/>
  <c r="E67" i="8"/>
  <c r="E17" i="4" s="1"/>
  <c r="E65" i="8"/>
  <c r="E66" i="8"/>
  <c r="E63" i="8"/>
  <c r="E62" i="8"/>
  <c r="E59" i="8"/>
  <c r="E58" i="8"/>
  <c r="C70" i="8" l="1"/>
  <c r="C14" i="3" s="1"/>
  <c r="E6" i="5"/>
  <c r="E16" i="4"/>
  <c r="D64" i="8"/>
  <c r="D29" i="3" s="1"/>
  <c r="D7" i="7"/>
  <c r="E33" i="3"/>
  <c r="E34" i="4"/>
  <c r="E74" i="4" s="1"/>
  <c r="E90" i="4" s="1"/>
  <c r="E61" i="8"/>
  <c r="C35" i="4"/>
  <c r="C36" i="4" s="1"/>
  <c r="F65" i="8"/>
  <c r="F69" i="8"/>
  <c r="F67" i="8"/>
  <c r="F17" i="4" s="1"/>
  <c r="F62" i="8"/>
  <c r="F59" i="8"/>
  <c r="F58" i="8"/>
  <c r="D36" i="3" l="1"/>
  <c r="D38" i="3" s="1"/>
  <c r="F33" i="3"/>
  <c r="F34" i="4"/>
  <c r="F74" i="4" s="1"/>
  <c r="F90" i="4" s="1"/>
  <c r="F61" i="8"/>
  <c r="D5" i="5"/>
  <c r="D7" i="5" s="1"/>
  <c r="D10" i="5" s="1"/>
  <c r="D68" i="8"/>
  <c r="D30" i="3" s="1"/>
  <c r="D31" i="3" s="1"/>
  <c r="D57" i="3" s="1"/>
  <c r="D25" i="4"/>
  <c r="D28" i="4" s="1"/>
  <c r="D8" i="7"/>
  <c r="E64" i="8"/>
  <c r="E7" i="7"/>
  <c r="F16" i="4"/>
  <c r="F6" i="5"/>
  <c r="C108" i="4"/>
  <c r="C15" i="4"/>
  <c r="C18" i="4" s="1"/>
  <c r="C21" i="4" s="1"/>
  <c r="C9" i="7"/>
  <c r="G65" i="8"/>
  <c r="G67" i="8"/>
  <c r="G17" i="4" s="1"/>
  <c r="G69" i="8"/>
  <c r="G62" i="8"/>
  <c r="G48" i="8"/>
  <c r="G47" i="8"/>
  <c r="G46" i="8"/>
  <c r="G45" i="8"/>
  <c r="G34" i="8"/>
  <c r="G33" i="8"/>
  <c r="G31" i="8"/>
  <c r="G30" i="8"/>
  <c r="G24" i="8"/>
  <c r="G23" i="8"/>
  <c r="G22" i="8"/>
  <c r="G16" i="8"/>
  <c r="G15" i="8"/>
  <c r="G14" i="8"/>
  <c r="G13" i="8"/>
  <c r="G12" i="8"/>
  <c r="F48" i="8"/>
  <c r="F47" i="8"/>
  <c r="F45" i="8"/>
  <c r="F33" i="8"/>
  <c r="F31" i="8"/>
  <c r="F30" i="8"/>
  <c r="F24" i="8"/>
  <c r="F23" i="8"/>
  <c r="F22" i="8"/>
  <c r="F13" i="8"/>
  <c r="F16" i="8"/>
  <c r="F15" i="8"/>
  <c r="F14" i="8"/>
  <c r="F12" i="8"/>
  <c r="G17" i="8" l="1"/>
  <c r="G50" i="3" s="1"/>
  <c r="G35" i="8"/>
  <c r="F17" i="8"/>
  <c r="G49" i="8"/>
  <c r="G59" i="8"/>
  <c r="F50" i="3"/>
  <c r="F35" i="8"/>
  <c r="G65" i="4"/>
  <c r="E68" i="8"/>
  <c r="E5" i="5"/>
  <c r="E7" i="5" s="1"/>
  <c r="E10" i="5" s="1"/>
  <c r="E29" i="3"/>
  <c r="E36" i="3" s="1"/>
  <c r="E38" i="3" s="1"/>
  <c r="E8" i="7"/>
  <c r="E25" i="4"/>
  <c r="E28" i="4" s="1"/>
  <c r="E35" i="4" s="1"/>
  <c r="E36" i="4" s="1"/>
  <c r="E108" i="4" s="1"/>
  <c r="G42" i="8"/>
  <c r="G67" i="4"/>
  <c r="G70" i="4" s="1"/>
  <c r="G52" i="3"/>
  <c r="G32" i="7"/>
  <c r="G66" i="4"/>
  <c r="G6" i="5"/>
  <c r="G16" i="4"/>
  <c r="F32" i="7"/>
  <c r="F66" i="4"/>
  <c r="F64" i="8"/>
  <c r="F7" i="7"/>
  <c r="F49" i="8"/>
  <c r="F28" i="7" s="1"/>
  <c r="G51" i="3"/>
  <c r="G91" i="4"/>
  <c r="G12" i="5"/>
  <c r="G25" i="8"/>
  <c r="C38" i="4"/>
  <c r="F31" i="7"/>
  <c r="F65" i="4"/>
  <c r="D35" i="4"/>
  <c r="D36" i="4" s="1"/>
  <c r="D70" i="8"/>
  <c r="D14" i="3" s="1"/>
  <c r="F30" i="7"/>
  <c r="G58" i="8"/>
  <c r="F67" i="4"/>
  <c r="F70" i="4" s="1"/>
  <c r="F52" i="3"/>
  <c r="F51" i="3"/>
  <c r="F91" i="4"/>
  <c r="F92" i="4" s="1"/>
  <c r="F25" i="8"/>
  <c r="F26" i="8" s="1"/>
  <c r="E48" i="8"/>
  <c r="E47" i="8"/>
  <c r="E45" i="8"/>
  <c r="E31" i="8"/>
  <c r="E33" i="8"/>
  <c r="E30" i="8"/>
  <c r="E24" i="8"/>
  <c r="E23" i="8"/>
  <c r="E22" i="8"/>
  <c r="F12" i="5" s="1"/>
  <c r="E16" i="8"/>
  <c r="E13" i="8"/>
  <c r="E15" i="8"/>
  <c r="E14" i="8"/>
  <c r="E12" i="8"/>
  <c r="D47" i="8"/>
  <c r="D45" i="8"/>
  <c r="D48" i="8"/>
  <c r="D33" i="8"/>
  <c r="D30" i="8"/>
  <c r="G17" i="7" l="1"/>
  <c r="G15" i="7"/>
  <c r="G26" i="8"/>
  <c r="G16" i="7"/>
  <c r="G68" i="4"/>
  <c r="E49" i="8"/>
  <c r="E28" i="7" s="1"/>
  <c r="G23" i="7"/>
  <c r="G13" i="3"/>
  <c r="E32" i="7"/>
  <c r="E66" i="4"/>
  <c r="F42" i="8"/>
  <c r="F23" i="7"/>
  <c r="G75" i="4"/>
  <c r="F68" i="4"/>
  <c r="G11" i="5" s="1"/>
  <c r="E70" i="8"/>
  <c r="E30" i="3"/>
  <c r="E31" i="3" s="1"/>
  <c r="F13" i="3"/>
  <c r="F29" i="7"/>
  <c r="E17" i="8"/>
  <c r="D108" i="4"/>
  <c r="E67" i="4"/>
  <c r="E70" i="4" s="1"/>
  <c r="E52" i="3"/>
  <c r="G53" i="3"/>
  <c r="G58" i="3" s="1"/>
  <c r="F15" i="7"/>
  <c r="F17" i="7"/>
  <c r="E91" i="4"/>
  <c r="E92" i="4" s="1"/>
  <c r="E51" i="3"/>
  <c r="E25" i="8"/>
  <c r="F25" i="4"/>
  <c r="F28" i="4" s="1"/>
  <c r="F35" i="4" s="1"/>
  <c r="F36" i="4" s="1"/>
  <c r="F108" i="4" s="1"/>
  <c r="F68" i="8"/>
  <c r="F8" i="7"/>
  <c r="F5" i="5"/>
  <c r="F7" i="5" s="1"/>
  <c r="F10" i="5" s="1"/>
  <c r="F29" i="3"/>
  <c r="F36" i="3" s="1"/>
  <c r="F38" i="3" s="1"/>
  <c r="F16" i="7"/>
  <c r="D49" i="8"/>
  <c r="D28" i="7" s="1"/>
  <c r="G33" i="3"/>
  <c r="G30" i="7"/>
  <c r="G34" i="4"/>
  <c r="G74" i="4" s="1"/>
  <c r="G90" i="4" s="1"/>
  <c r="G92" i="4" s="1"/>
  <c r="G61" i="8"/>
  <c r="G28" i="7"/>
  <c r="G29" i="7"/>
  <c r="D9" i="7"/>
  <c r="D15" i="4"/>
  <c r="D18" i="4" s="1"/>
  <c r="D21" i="4" s="1"/>
  <c r="F53" i="3"/>
  <c r="F58" i="3" s="1"/>
  <c r="E35" i="8"/>
  <c r="E65" i="4"/>
  <c r="E68" i="4" s="1"/>
  <c r="E31" i="7"/>
  <c r="E30" i="7"/>
  <c r="G24" i="7"/>
  <c r="G50" i="8"/>
  <c r="G51" i="8" s="1"/>
  <c r="G22" i="7"/>
  <c r="G31" i="7"/>
  <c r="D31" i="8"/>
  <c r="D52" i="3" s="1"/>
  <c r="D24" i="8"/>
  <c r="D23" i="8"/>
  <c r="D22" i="8"/>
  <c r="D51" i="3" s="1"/>
  <c r="D13" i="8"/>
  <c r="D16" i="8"/>
  <c r="D15" i="8"/>
  <c r="D14" i="8"/>
  <c r="D12" i="8"/>
  <c r="C48" i="8"/>
  <c r="C47" i="8"/>
  <c r="C45" i="8"/>
  <c r="C30" i="8"/>
  <c r="C31" i="8"/>
  <c r="C52" i="3" s="1"/>
  <c r="C33" i="8"/>
  <c r="C24" i="8"/>
  <c r="C23" i="8"/>
  <c r="C22" i="8"/>
  <c r="C51" i="3" s="1"/>
  <c r="C16" i="8"/>
  <c r="C13" i="8"/>
  <c r="C15" i="8"/>
  <c r="C14" i="8"/>
  <c r="C12" i="8"/>
  <c r="G76" i="4" l="1"/>
  <c r="G109" i="4" s="1"/>
  <c r="D17" i="8"/>
  <c r="D50" i="3" s="1"/>
  <c r="D53" i="3" s="1"/>
  <c r="D58" i="3" s="1"/>
  <c r="D59" i="3" s="1"/>
  <c r="C49" i="8"/>
  <c r="E57" i="3"/>
  <c r="C28" i="7"/>
  <c r="C10" i="7"/>
  <c r="G77" i="4"/>
  <c r="C91" i="4"/>
  <c r="C92" i="4" s="1"/>
  <c r="C25" i="8"/>
  <c r="E17" i="7"/>
  <c r="E26" i="8"/>
  <c r="E50" i="3"/>
  <c r="E53" i="3" s="1"/>
  <c r="E58" i="3" s="1"/>
  <c r="E59" i="3" s="1"/>
  <c r="E15" i="7"/>
  <c r="E16" i="7"/>
  <c r="D67" i="4"/>
  <c r="D70" i="4" s="1"/>
  <c r="D35" i="8"/>
  <c r="C17" i="8"/>
  <c r="C50" i="3" s="1"/>
  <c r="C53" i="3" s="1"/>
  <c r="C58" i="3" s="1"/>
  <c r="C59" i="3" s="1"/>
  <c r="C31" i="7"/>
  <c r="C65" i="4"/>
  <c r="C30" i="7"/>
  <c r="C67" i="4"/>
  <c r="C70" i="4" s="1"/>
  <c r="D10" i="7"/>
  <c r="F70" i="8"/>
  <c r="F30" i="3"/>
  <c r="F31" i="3" s="1"/>
  <c r="E9" i="7"/>
  <c r="E14" i="3"/>
  <c r="E15" i="4"/>
  <c r="E18" i="4" s="1"/>
  <c r="E21" i="4" s="1"/>
  <c r="E38" i="4" s="1"/>
  <c r="E10" i="7"/>
  <c r="D12" i="5"/>
  <c r="D91" i="4"/>
  <c r="D92" i="4" s="1"/>
  <c r="D25" i="8"/>
  <c r="D26" i="8" s="1"/>
  <c r="D13" i="3" s="1"/>
  <c r="D15" i="3" s="1"/>
  <c r="E75" i="4"/>
  <c r="E76" i="4" s="1"/>
  <c r="D15" i="7"/>
  <c r="E42" i="8"/>
  <c r="E23" i="7" s="1"/>
  <c r="F24" i="7"/>
  <c r="F50" i="8"/>
  <c r="F51" i="8" s="1"/>
  <c r="F22" i="7"/>
  <c r="D31" i="7"/>
  <c r="D65" i="4"/>
  <c r="D30" i="7"/>
  <c r="G64" i="8"/>
  <c r="G7" i="7"/>
  <c r="D32" i="7"/>
  <c r="D66" i="4"/>
  <c r="C32" i="7"/>
  <c r="C66" i="4"/>
  <c r="C35" i="8"/>
  <c r="D38" i="4"/>
  <c r="E12" i="5"/>
  <c r="F75" i="4"/>
  <c r="F76" i="4" s="1"/>
  <c r="F11" i="5"/>
  <c r="F13" i="5" s="1"/>
  <c r="D16" i="7" l="1"/>
  <c r="D17" i="7"/>
  <c r="H92" i="4"/>
  <c r="G8" i="7"/>
  <c r="G29" i="3"/>
  <c r="G36" i="3" s="1"/>
  <c r="G38" i="3" s="1"/>
  <c r="H38" i="3" s="1"/>
  <c r="G5" i="5"/>
  <c r="G7" i="5" s="1"/>
  <c r="G10" i="5" s="1"/>
  <c r="G13" i="5" s="1"/>
  <c r="G25" i="4"/>
  <c r="G28" i="4" s="1"/>
  <c r="G68" i="8"/>
  <c r="E24" i="7"/>
  <c r="E50" i="8"/>
  <c r="E22" i="7"/>
  <c r="C68" i="4"/>
  <c r="E77" i="4"/>
  <c r="E109" i="4"/>
  <c r="E110" i="4" s="1"/>
  <c r="C42" i="8"/>
  <c r="C23" i="7"/>
  <c r="D68" i="4"/>
  <c r="D29" i="7"/>
  <c r="F57" i="3"/>
  <c r="F59" i="3" s="1"/>
  <c r="F9" i="7"/>
  <c r="F15" i="4"/>
  <c r="F18" i="4" s="1"/>
  <c r="F21" i="4" s="1"/>
  <c r="F14" i="3"/>
  <c r="F15" i="3" s="1"/>
  <c r="F10" i="7"/>
  <c r="C17" i="7"/>
  <c r="C15" i="7"/>
  <c r="C16" i="7"/>
  <c r="C26" i="8"/>
  <c r="C13" i="3" s="1"/>
  <c r="C15" i="3" s="1"/>
  <c r="E13" i="3"/>
  <c r="E15" i="3" s="1"/>
  <c r="E51" i="8"/>
  <c r="E29" i="7"/>
  <c r="F77" i="4"/>
  <c r="F109" i="4"/>
  <c r="F110" i="4" s="1"/>
  <c r="D42" i="8"/>
  <c r="D23" i="7"/>
  <c r="C24" i="7" l="1"/>
  <c r="C50" i="8"/>
  <c r="C22" i="7"/>
  <c r="G35" i="4"/>
  <c r="G36" i="4" s="1"/>
  <c r="H28" i="4"/>
  <c r="F38" i="4"/>
  <c r="D75" i="4"/>
  <c r="D76" i="4" s="1"/>
  <c r="D11" i="5"/>
  <c r="D13" i="5" s="1"/>
  <c r="E11" i="5"/>
  <c r="E13" i="5" s="1"/>
  <c r="C51" i="8"/>
  <c r="C29" i="7"/>
  <c r="D24" i="7"/>
  <c r="D50" i="8"/>
  <c r="D51" i="8" s="1"/>
  <c r="D22" i="7"/>
  <c r="G70" i="8"/>
  <c r="G30" i="3"/>
  <c r="G31" i="3" s="1"/>
  <c r="H31" i="3" s="1"/>
  <c r="C75" i="4"/>
  <c r="C76" i="4" s="1"/>
  <c r="H68" i="4"/>
  <c r="G14" i="3" l="1"/>
  <c r="G15" i="3" s="1"/>
  <c r="H15" i="3" s="1"/>
  <c r="C63" i="3" s="1"/>
  <c r="G9" i="7"/>
  <c r="G15" i="4"/>
  <c r="G18" i="4" s="1"/>
  <c r="G21" i="4" s="1"/>
  <c r="G10" i="7"/>
  <c r="G57" i="3"/>
  <c r="G59" i="3" s="1"/>
  <c r="H59" i="3" s="1"/>
  <c r="D77" i="4"/>
  <c r="D109" i="4"/>
  <c r="D110" i="4" s="1"/>
  <c r="C77" i="4"/>
  <c r="H77" i="4" s="1"/>
  <c r="H76" i="4"/>
  <c r="C109" i="4"/>
  <c r="C110" i="4" s="1"/>
  <c r="G108" i="4"/>
  <c r="G110" i="4" s="1"/>
  <c r="H36" i="4"/>
  <c r="D17" i="3" l="1"/>
  <c r="D18" i="3"/>
  <c r="C64" i="3"/>
  <c r="O35" i="10" s="1"/>
  <c r="P35" i="10" s="1"/>
  <c r="Q35" i="10" s="1"/>
  <c r="R35" i="10" s="1"/>
  <c r="S35" i="10" s="1"/>
  <c r="G38" i="4"/>
  <c r="H21" i="4"/>
  <c r="H110" i="4"/>
  <c r="C65" i="3" l="1"/>
  <c r="O36" i="10" s="1"/>
  <c r="O34" i="10"/>
  <c r="P34" i="10" s="1"/>
  <c r="Q34" i="10" s="1"/>
  <c r="R34" i="10" s="1"/>
  <c r="S34" i="10" s="1"/>
</calcChain>
</file>

<file path=xl/sharedStrings.xml><?xml version="1.0" encoding="utf-8"?>
<sst xmlns="http://schemas.openxmlformats.org/spreadsheetml/2006/main" count="221" uniqueCount="171">
  <si>
    <t>UTILIDAD OPERACIONAL</t>
  </si>
  <si>
    <t>EBITDA</t>
  </si>
  <si>
    <t>Promedio</t>
  </si>
  <si>
    <t>ROA</t>
  </si>
  <si>
    <t>Activos Totales</t>
  </si>
  <si>
    <t>Utilidad Neta</t>
  </si>
  <si>
    <t>RAN</t>
  </si>
  <si>
    <t>UODI</t>
  </si>
  <si>
    <t>Utilidad Operacional</t>
  </si>
  <si>
    <t xml:space="preserve"> Imp. Real Pagado</t>
  </si>
  <si>
    <t>Activos Netos de Operación</t>
  </si>
  <si>
    <t>UODI con Tasa de Impuesto</t>
  </si>
  <si>
    <t>UODI con Impuesto Real Pagado</t>
  </si>
  <si>
    <t>Activos Corrientes</t>
  </si>
  <si>
    <t>Activos Fijos (Propiedad Planta y Equipo)</t>
  </si>
  <si>
    <t>Cuentas por pagar proveedores</t>
  </si>
  <si>
    <t>INDUCTORES OPERATIVOS Y FINANCIEROS</t>
  </si>
  <si>
    <t>Margen EBITDA</t>
  </si>
  <si>
    <t>Ventas</t>
  </si>
  <si>
    <t>KTNO "Capital de trabajo neto Operacional"</t>
  </si>
  <si>
    <t xml:space="preserve">Cuentas por cobrar </t>
  </si>
  <si>
    <t>Inventario</t>
  </si>
  <si>
    <t>Cuentas por pagar Proveedores</t>
  </si>
  <si>
    <t>KTNO</t>
  </si>
  <si>
    <t>PKT</t>
  </si>
  <si>
    <t>Productividad de Capital de Trabajo (PKT)</t>
  </si>
  <si>
    <t>Activos Fijos</t>
  </si>
  <si>
    <t>PAF</t>
  </si>
  <si>
    <t>Productividad del Activo Fijo (PAF) Rotacion anual</t>
  </si>
  <si>
    <t>Palanca de Crecimiento (PDC)</t>
  </si>
  <si>
    <t>PDC</t>
  </si>
  <si>
    <t>INDUCTOR FLUJO DE CAJA LIBRE</t>
  </si>
  <si>
    <t>UTILIDAD OPERATIVA</t>
  </si>
  <si>
    <t>R/I</t>
  </si>
  <si>
    <t>Rentabilidad</t>
  </si>
  <si>
    <t>Rentabilidad Bruta</t>
  </si>
  <si>
    <t>Utilidad Bruta / Ventas</t>
  </si>
  <si>
    <t>Rentabilidad Operacional</t>
  </si>
  <si>
    <t>Utilidad Operacional / Ventas</t>
  </si>
  <si>
    <t>Rentabilidad Neta</t>
  </si>
  <si>
    <t>Utilidad Neta / Ventas</t>
  </si>
  <si>
    <t>ROE</t>
  </si>
  <si>
    <t>Utilidad Neta / Patrimonio</t>
  </si>
  <si>
    <t>Liquidez</t>
  </si>
  <si>
    <t>Capital de Trabajo</t>
  </si>
  <si>
    <t>Activo Corriente - Pasivo Corriente</t>
  </si>
  <si>
    <t>Razon Corriente</t>
  </si>
  <si>
    <t>Activo Corriente / Pasivo Corriente</t>
  </si>
  <si>
    <t>Prueba Acida</t>
  </si>
  <si>
    <t>Endeudamiento</t>
  </si>
  <si>
    <t>Nivel de Endeudamiento</t>
  </si>
  <si>
    <t>Total Pasivo / Total Activo</t>
  </si>
  <si>
    <t>Concentracion de Endeudamiento a Corto Plazo</t>
  </si>
  <si>
    <t>Pasivo Corriente / Pasivo Total</t>
  </si>
  <si>
    <t>Concentracion de Endeudamiento a Largo Plazo</t>
  </si>
  <si>
    <t>Pasivo No Corriente / Pasivo Total</t>
  </si>
  <si>
    <t>Actividad</t>
  </si>
  <si>
    <t>Rotacion del Patrimonio</t>
  </si>
  <si>
    <t>Ventas / Patrimonio</t>
  </si>
  <si>
    <t>Rotacion del Activo</t>
  </si>
  <si>
    <t>Ventas / Activo Total</t>
  </si>
  <si>
    <t>Rotacion de Cartera</t>
  </si>
  <si>
    <t>Ventas / Cuentas Por Cobrar Clientes</t>
  </si>
  <si>
    <t>Periodo de Cobro</t>
  </si>
  <si>
    <t>(Cuentas Por Cobrar Clientes / Ventas ) * 365</t>
  </si>
  <si>
    <t>Rotacion de Inventarios</t>
  </si>
  <si>
    <t>(Inventarios / Costo de Ventas) * 365</t>
  </si>
  <si>
    <t>Ciclo Operacional</t>
  </si>
  <si>
    <t>Periodo de Cobro +  Rotacion de Inventarios</t>
  </si>
  <si>
    <t>Periodo de Pago a Proveedores</t>
  </si>
  <si>
    <t>(Cuentas por pagar Proveedores / Costo de Ventas) * 365</t>
  </si>
  <si>
    <t>MATRIZ RAZONES FINANCIERAS</t>
  </si>
  <si>
    <t>ANALISIS DE RAZONES FINANCIERAS</t>
  </si>
  <si>
    <t>(Activo Corriente - Inventarios) / Pasivo Corriente</t>
  </si>
  <si>
    <t>PKT Centavos</t>
  </si>
  <si>
    <t>PKT %</t>
  </si>
  <si>
    <t>Menos Impuestos</t>
  </si>
  <si>
    <t>Mas Depreciaciones</t>
  </si>
  <si>
    <t>Mas Amortizaciones</t>
  </si>
  <si>
    <t>FLUJO DE CAJA BRUTO</t>
  </si>
  <si>
    <t>FLUJO DE CAJA LIBRE (FCL)</t>
  </si>
  <si>
    <t>ESTADO DE SITUACIÓN FINANCIERA (BALANCE GENERAL)</t>
  </si>
  <si>
    <t>ACTIVOS</t>
  </si>
  <si>
    <t>Activos corrientes</t>
  </si>
  <si>
    <t>Efectivo y equivalentes de efectivo</t>
  </si>
  <si>
    <t>Activos financieros</t>
  </si>
  <si>
    <t>Deudores comerciales y otros</t>
  </si>
  <si>
    <t>Inventarios</t>
  </si>
  <si>
    <t>Total activos corrientes</t>
  </si>
  <si>
    <t>Activos no corrientes</t>
  </si>
  <si>
    <t>Deudores</t>
  </si>
  <si>
    <t>Propiedades, planta y equipo</t>
  </si>
  <si>
    <t>Activos intangibles</t>
  </si>
  <si>
    <t>Activos por impuestos diferidos</t>
  </si>
  <si>
    <t>Total activos no corrientes</t>
  </si>
  <si>
    <t xml:space="preserve">Total activos </t>
  </si>
  <si>
    <t>PASIVOS Y PATRIMONIO</t>
  </si>
  <si>
    <t>Pasivos corrientes</t>
  </si>
  <si>
    <t>Obligaciones financieras</t>
  </si>
  <si>
    <t>Proveedores</t>
  </si>
  <si>
    <t>Impuestos corrientes por pagar</t>
  </si>
  <si>
    <t>Otros pasivos</t>
  </si>
  <si>
    <t>Total pasivos corrientes</t>
  </si>
  <si>
    <t>Pasivos no corrientes</t>
  </si>
  <si>
    <t>Provisiones</t>
  </si>
  <si>
    <t xml:space="preserve">Total pasivos </t>
  </si>
  <si>
    <t>Patrimonio de los accionistas</t>
  </si>
  <si>
    <t>Capital suscrito y pagado</t>
  </si>
  <si>
    <t>Superavit de capital</t>
  </si>
  <si>
    <t>Reservas</t>
  </si>
  <si>
    <t>Resultados del Ejercicio</t>
  </si>
  <si>
    <t>Total patrimonio de los accionistas</t>
  </si>
  <si>
    <t>Total pasivos y patrimonio de los accionistas</t>
  </si>
  <si>
    <t>Verificación de ecuación contable</t>
  </si>
  <si>
    <t>Nota: Activo = Pasivo + Patrimonio</t>
  </si>
  <si>
    <t>ESTADO DE RESULTADOS</t>
  </si>
  <si>
    <t>Ventas, Ingresos de actividades ordinarias</t>
  </si>
  <si>
    <t>Costo de Ventas</t>
  </si>
  <si>
    <t>Utilidad Bruta</t>
  </si>
  <si>
    <t>Gastos de administración</t>
  </si>
  <si>
    <t>Gastos de ventas y distribución</t>
  </si>
  <si>
    <t>Otros ingresos</t>
  </si>
  <si>
    <t>Gasto no operacional</t>
  </si>
  <si>
    <t>Utilidad antes de impuestos</t>
  </si>
  <si>
    <t>Gasto por impuesto</t>
  </si>
  <si>
    <t>Cuentas por pagar Varios</t>
  </si>
  <si>
    <t>Gasto Financiero</t>
  </si>
  <si>
    <t xml:space="preserve"> Imp. Simulado</t>
  </si>
  <si>
    <t>DISTANCIA</t>
  </si>
  <si>
    <t>INDUCTORES DE RENTABILIDAD</t>
  </si>
  <si>
    <t>IMPUESTOS</t>
  </si>
  <si>
    <t>GASTOS FINANCIEROS</t>
  </si>
  <si>
    <t>MODELO GENERAL</t>
  </si>
  <si>
    <t>EBIT</t>
  </si>
  <si>
    <t>Detalles de Depreciación y Amortización</t>
  </si>
  <si>
    <t>Depreciaciones</t>
  </si>
  <si>
    <t>Amortizaciones</t>
  </si>
  <si>
    <t>UTILIDAD NETA</t>
  </si>
  <si>
    <t xml:space="preserve">EBITDA </t>
  </si>
  <si>
    <t>MODELO OPERATIVO</t>
  </si>
  <si>
    <t>Menos Variación  KTNO</t>
  </si>
  <si>
    <t>Menos Variación en Activos Fijos</t>
  </si>
  <si>
    <t>RAZONES DE ACTIVIDAD</t>
  </si>
  <si>
    <t>INDUCTORES DE VALOR Y RAZONES FINANCIERAS</t>
  </si>
  <si>
    <t>Periodo de pago a proveedor debe ser mayor al periodo de cobro</t>
  </si>
  <si>
    <t>Rotación de imventarios debe ser menor al pago a proveedores</t>
  </si>
  <si>
    <t>Tiempo entre la rotación de inventarios y el periodo de cobro al cliente</t>
  </si>
  <si>
    <t>AJUSTE DE CICLOS DE OPERACIÓN DE LA EMPRESA</t>
  </si>
  <si>
    <t>CONCEPTO</t>
  </si>
  <si>
    <t>Conversión Cuentas por pagar Proveedores</t>
  </si>
  <si>
    <t>Maximo</t>
  </si>
  <si>
    <t>Minimo</t>
  </si>
  <si>
    <t>IPC</t>
  </si>
  <si>
    <t>DTF</t>
  </si>
  <si>
    <t>Encontrar los movimientos para encontrar las causas</t>
  </si>
  <si>
    <t>Paesto se piden creditos. .y por lo tanto pertenece a la operación</t>
  </si>
  <si>
    <t>Esta empresa demanda 45 centavos por un peso vendido</t>
  </si>
  <si>
    <t>el 45% del 100 es l oque demanda la emprea de captal para poder moverse</t>
  </si>
  <si>
    <t>Veces</t>
  </si>
  <si>
    <t>Costos</t>
  </si>
  <si>
    <t>Gastos</t>
  </si>
  <si>
    <t xml:space="preserve">Para modificar el </t>
  </si>
  <si>
    <t>CXC Clintes</t>
  </si>
  <si>
    <t>Estas cuentas me estan afectan ese margen</t>
  </si>
  <si>
    <t>Deficitario</t>
  </si>
  <si>
    <t>Superavitario</t>
  </si>
  <si>
    <t>Mayor valor empresarial</t>
  </si>
  <si>
    <t xml:space="preserve">  </t>
  </si>
  <si>
    <t>Menor valor empresarial</t>
  </si>
  <si>
    <t>EMPRESA FINART S.A.S</t>
  </si>
  <si>
    <t>Otros Activos No Financieros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</si>
</sst>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_-* #,##0_-;\-* #,##0_-;_-* &quot;-&quot;??_-;_-@_-"/>
    <numFmt numFmtId="168" formatCode="_(* #,##0_);_(* \(#,##0\);_(* &quot;-&quot;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 val="singleAccounting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color theme="1"/>
      <name val="Times New Roman"/>
      <family val="1"/>
    </font>
    <font>
      <b/>
      <sz val="16"/>
      <color theme="0"/>
      <name val="Agency FB"/>
      <family val="2"/>
    </font>
    <font>
      <b/>
      <sz val="14"/>
      <color theme="0"/>
      <name val="Agency FB"/>
      <family val="2"/>
    </font>
    <font>
      <b/>
      <sz val="12"/>
      <color theme="0"/>
      <name val="Times New Roman"/>
      <family val="1"/>
    </font>
    <font>
      <b/>
      <sz val="18"/>
      <color theme="0"/>
      <name val="Calibri"/>
      <family val="2"/>
      <scheme val="minor"/>
    </font>
    <font>
      <sz val="12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13" fillId="0" borderId="0" applyFont="0" applyFill="0" applyBorder="0" applyAlignment="0" applyProtection="0"/>
  </cellStyleXfs>
  <cellXfs count="143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10" fontId="0" fillId="2" borderId="6" xfId="2" applyNumberFormat="1" applyFont="1" applyFill="1" applyBorder="1"/>
    <xf numFmtId="0" fontId="0" fillId="2" borderId="7" xfId="0" applyFill="1" applyBorder="1"/>
    <xf numFmtId="10" fontId="0" fillId="2" borderId="7" xfId="2" applyNumberFormat="1" applyFont="1" applyFill="1" applyBorder="1"/>
    <xf numFmtId="165" fontId="0" fillId="2" borderId="5" xfId="1" applyNumberFormat="1" applyFont="1" applyFill="1" applyBorder="1"/>
    <xf numFmtId="10" fontId="0" fillId="2" borderId="5" xfId="2" applyNumberFormat="1" applyFont="1" applyFill="1" applyBorder="1"/>
    <xf numFmtId="0" fontId="0" fillId="2" borderId="0" xfId="0" applyFill="1" applyBorder="1"/>
    <xf numFmtId="0" fontId="2" fillId="2" borderId="8" xfId="0" applyFont="1" applyFill="1" applyBorder="1"/>
    <xf numFmtId="0" fontId="3" fillId="5" borderId="7" xfId="0" applyFont="1" applyFill="1" applyBorder="1"/>
    <xf numFmtId="0" fontId="2" fillId="3" borderId="4" xfId="0" applyFont="1" applyFill="1" applyBorder="1"/>
    <xf numFmtId="0" fontId="2" fillId="4" borderId="4" xfId="0" applyFont="1" applyFill="1" applyBorder="1"/>
    <xf numFmtId="0" fontId="3" fillId="6" borderId="4" xfId="0" applyFont="1" applyFill="1" applyBorder="1"/>
    <xf numFmtId="0" fontId="0" fillId="2" borderId="9" xfId="0" applyFill="1" applyBorder="1"/>
    <xf numFmtId="0" fontId="0" fillId="2" borderId="10" xfId="0" applyFill="1" applyBorder="1"/>
    <xf numFmtId="10" fontId="0" fillId="2" borderId="0" xfId="2" applyNumberFormat="1" applyFont="1" applyFill="1" applyBorder="1"/>
    <xf numFmtId="164" fontId="0" fillId="2" borderId="0" xfId="1" applyNumberFormat="1" applyFont="1" applyFill="1" applyBorder="1"/>
    <xf numFmtId="0" fontId="9" fillId="2" borderId="0" xfId="0" applyFont="1" applyFill="1"/>
    <xf numFmtId="0" fontId="4" fillId="2" borderId="1" xfId="0" applyFont="1" applyFill="1" applyBorder="1"/>
    <xf numFmtId="3" fontId="9" fillId="2" borderId="1" xfId="0" applyNumberFormat="1" applyFont="1" applyFill="1" applyBorder="1"/>
    <xf numFmtId="0" fontId="9" fillId="2" borderId="1" xfId="0" applyFont="1" applyFill="1" applyBorder="1"/>
    <xf numFmtId="3" fontId="4" fillId="2" borderId="1" xfId="0" applyNumberFormat="1" applyFont="1" applyFill="1" applyBorder="1"/>
    <xf numFmtId="41" fontId="9" fillId="2" borderId="1" xfId="3" applyFont="1" applyFill="1" applyBorder="1"/>
    <xf numFmtId="41" fontId="4" fillId="2" borderId="1" xfId="0" applyNumberFormat="1" applyFont="1" applyFill="1" applyBorder="1"/>
    <xf numFmtId="0" fontId="10" fillId="2" borderId="14" xfId="0" applyFont="1" applyFill="1" applyBorder="1"/>
    <xf numFmtId="0" fontId="12" fillId="2" borderId="14" xfId="0" applyFont="1" applyFill="1" applyBorder="1"/>
    <xf numFmtId="167" fontId="10" fillId="2" borderId="0" xfId="4" applyNumberFormat="1" applyFont="1" applyFill="1" applyBorder="1"/>
    <xf numFmtId="167" fontId="10" fillId="2" borderId="9" xfId="4" applyNumberFormat="1" applyFont="1" applyFill="1" applyBorder="1"/>
    <xf numFmtId="0" fontId="12" fillId="2" borderId="8" xfId="0" applyFont="1" applyFill="1" applyBorder="1"/>
    <xf numFmtId="0" fontId="10" fillId="2" borderId="12" xfId="0" applyFont="1" applyFill="1" applyBorder="1"/>
    <xf numFmtId="0" fontId="11" fillId="2" borderId="13" xfId="3" applyNumberFormat="1" applyFont="1" applyFill="1" applyBorder="1" applyAlignment="1">
      <alignment horizontal="center"/>
    </xf>
    <xf numFmtId="0" fontId="11" fillId="2" borderId="11" xfId="3" applyNumberFormat="1" applyFont="1" applyFill="1" applyBorder="1" applyAlignment="1">
      <alignment horizontal="center"/>
    </xf>
    <xf numFmtId="167" fontId="11" fillId="2" borderId="0" xfId="4" applyNumberFormat="1" applyFont="1" applyFill="1" applyBorder="1" applyAlignment="1">
      <alignment horizontal="center"/>
    </xf>
    <xf numFmtId="41" fontId="14" fillId="2" borderId="0" xfId="5" applyFont="1" applyFill="1" applyBorder="1"/>
    <xf numFmtId="0" fontId="0" fillId="2" borderId="8" xfId="0" applyFill="1" applyBorder="1"/>
    <xf numFmtId="0" fontId="0" fillId="2" borderId="15" xfId="0" applyFill="1" applyBorder="1"/>
    <xf numFmtId="167" fontId="12" fillId="2" borderId="0" xfId="4" applyNumberFormat="1" applyFont="1" applyFill="1" applyBorder="1"/>
    <xf numFmtId="41" fontId="15" fillId="2" borderId="0" xfId="5" applyFont="1" applyFill="1" applyBorder="1"/>
    <xf numFmtId="41" fontId="0" fillId="2" borderId="0" xfId="0" applyNumberFormat="1" applyFill="1"/>
    <xf numFmtId="167" fontId="12" fillId="2" borderId="9" xfId="4" applyNumberFormat="1" applyFont="1" applyFill="1" applyBorder="1"/>
    <xf numFmtId="41" fontId="15" fillId="2" borderId="9" xfId="5" applyFont="1" applyFill="1" applyBorder="1"/>
    <xf numFmtId="167" fontId="12" fillId="2" borderId="15" xfId="4" applyNumberFormat="1" applyFont="1" applyFill="1" applyBorder="1"/>
    <xf numFmtId="167" fontId="12" fillId="2" borderId="10" xfId="4" applyNumberFormat="1" applyFont="1" applyFill="1" applyBorder="1"/>
    <xf numFmtId="0" fontId="12" fillId="2" borderId="16" xfId="0" applyFont="1" applyFill="1" applyBorder="1"/>
    <xf numFmtId="1" fontId="16" fillId="2" borderId="17" xfId="3" applyNumberFormat="1" applyFont="1" applyFill="1" applyBorder="1"/>
    <xf numFmtId="1" fontId="16" fillId="2" borderId="18" xfId="3" applyNumberFormat="1" applyFont="1" applyFill="1" applyBorder="1"/>
    <xf numFmtId="0" fontId="10" fillId="2" borderId="8" xfId="0" applyFont="1" applyFill="1" applyBorder="1"/>
    <xf numFmtId="168" fontId="14" fillId="2" borderId="15" xfId="6" applyFont="1" applyFill="1" applyBorder="1"/>
    <xf numFmtId="41" fontId="9" fillId="8" borderId="1" xfId="3" applyFont="1" applyFill="1" applyBorder="1"/>
    <xf numFmtId="3" fontId="9" fillId="8" borderId="1" xfId="0" applyNumberFormat="1" applyFont="1" applyFill="1" applyBorder="1"/>
    <xf numFmtId="0" fontId="2" fillId="7" borderId="5" xfId="0" applyFont="1" applyFill="1" applyBorder="1"/>
    <xf numFmtId="0" fontId="8" fillId="2" borderId="0" xfId="0" applyFont="1" applyFill="1" applyBorder="1" applyAlignment="1"/>
    <xf numFmtId="164" fontId="0" fillId="2" borderId="5" xfId="1" applyFont="1" applyFill="1" applyBorder="1" applyAlignment="1">
      <alignment horizontal="center"/>
    </xf>
    <xf numFmtId="164" fontId="0" fillId="2" borderId="6" xfId="1" applyFont="1" applyFill="1" applyBorder="1" applyAlignment="1">
      <alignment horizontal="center"/>
    </xf>
    <xf numFmtId="0" fontId="19" fillId="8" borderId="4" xfId="0" applyFont="1" applyFill="1" applyBorder="1"/>
    <xf numFmtId="0" fontId="20" fillId="8" borderId="1" xfId="0" applyFont="1" applyFill="1" applyBorder="1"/>
    <xf numFmtId="0" fontId="3" fillId="8" borderId="1" xfId="0" applyFont="1" applyFill="1" applyBorder="1"/>
    <xf numFmtId="0" fontId="3" fillId="8" borderId="1" xfId="0" applyFont="1" applyFill="1" applyBorder="1" applyAlignment="1">
      <alignment horizontal="center" vertical="center" wrapText="1"/>
    </xf>
    <xf numFmtId="10" fontId="9" fillId="2" borderId="1" xfId="2" applyNumberFormat="1" applyFont="1" applyFill="1" applyBorder="1"/>
    <xf numFmtId="165" fontId="4" fillId="2" borderId="1" xfId="1" applyNumberFormat="1" applyFont="1" applyFill="1" applyBorder="1"/>
    <xf numFmtId="10" fontId="9" fillId="2" borderId="1" xfId="0" applyNumberFormat="1" applyFont="1" applyFill="1" applyBorder="1"/>
    <xf numFmtId="10" fontId="4" fillId="2" borderId="1" xfId="0" applyNumberFormat="1" applyFont="1" applyFill="1" applyBorder="1"/>
    <xf numFmtId="0" fontId="8" fillId="8" borderId="1" xfId="0" applyNumberFormat="1" applyFont="1" applyFill="1" applyBorder="1"/>
    <xf numFmtId="0" fontId="8" fillId="8" borderId="1" xfId="0" applyFont="1" applyFill="1" applyBorder="1"/>
    <xf numFmtId="0" fontId="8" fillId="8" borderId="1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2" xfId="0" applyFont="1" applyFill="1" applyBorder="1"/>
    <xf numFmtId="165" fontId="9" fillId="2" borderId="1" xfId="1" applyNumberFormat="1" applyFont="1" applyFill="1" applyBorder="1"/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/>
    <xf numFmtId="165" fontId="4" fillId="2" borderId="1" xfId="0" applyNumberFormat="1" applyFont="1" applyFill="1" applyBorder="1"/>
    <xf numFmtId="165" fontId="9" fillId="2" borderId="1" xfId="0" applyNumberFormat="1" applyFont="1" applyFill="1" applyBorder="1"/>
    <xf numFmtId="164" fontId="4" fillId="2" borderId="1" xfId="0" applyNumberFormat="1" applyFont="1" applyFill="1" applyBorder="1" applyAlignment="1">
      <alignment horizontal="center"/>
    </xf>
    <xf numFmtId="166" fontId="4" fillId="2" borderId="1" xfId="2" applyNumberFormat="1" applyFont="1" applyFill="1" applyBorder="1" applyAlignment="1">
      <alignment horizontal="right"/>
    </xf>
    <xf numFmtId="164" fontId="4" fillId="2" borderId="1" xfId="1" applyFont="1" applyFill="1" applyBorder="1"/>
    <xf numFmtId="164" fontId="4" fillId="2" borderId="1" xfId="0" applyNumberFormat="1" applyFont="1" applyFill="1" applyBorder="1"/>
    <xf numFmtId="164" fontId="9" fillId="2" borderId="1" xfId="0" applyNumberFormat="1" applyFont="1" applyFill="1" applyBorder="1"/>
    <xf numFmtId="0" fontId="8" fillId="8" borderId="3" xfId="0" applyNumberFormat="1" applyFont="1" applyFill="1" applyBorder="1"/>
    <xf numFmtId="0" fontId="0" fillId="8" borderId="0" xfId="0" applyFill="1"/>
    <xf numFmtId="0" fontId="9" fillId="8" borderId="0" xfId="0" applyFont="1" applyFill="1"/>
    <xf numFmtId="0" fontId="4" fillId="8" borderId="0" xfId="0" applyFont="1" applyFill="1" applyBorder="1"/>
    <xf numFmtId="0" fontId="8" fillId="8" borderId="1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/>
    <xf numFmtId="0" fontId="0" fillId="9" borderId="6" xfId="0" applyFill="1" applyBorder="1"/>
    <xf numFmtId="0" fontId="2" fillId="9" borderId="7" xfId="0" applyFont="1" applyFill="1" applyBorder="1"/>
    <xf numFmtId="3" fontId="0" fillId="2" borderId="0" xfId="0" applyNumberFormat="1" applyFill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10" fontId="9" fillId="2" borderId="0" xfId="0" applyNumberFormat="1" applyFont="1" applyFill="1"/>
    <xf numFmtId="9" fontId="0" fillId="2" borderId="0" xfId="2" applyFont="1" applyFill="1" applyBorder="1"/>
    <xf numFmtId="167" fontId="0" fillId="2" borderId="0" xfId="0" applyNumberFormat="1" applyFill="1"/>
    <xf numFmtId="9" fontId="0" fillId="2" borderId="0" xfId="2" applyFont="1" applyFill="1"/>
    <xf numFmtId="9" fontId="0" fillId="2" borderId="0" xfId="0" applyNumberFormat="1" applyFill="1"/>
    <xf numFmtId="9" fontId="9" fillId="2" borderId="0" xfId="0" applyNumberFormat="1" applyFont="1" applyFill="1"/>
    <xf numFmtId="166" fontId="9" fillId="2" borderId="0" xfId="2" applyNumberFormat="1" applyFont="1" applyFill="1"/>
    <xf numFmtId="10" fontId="2" fillId="2" borderId="0" xfId="0" applyNumberFormat="1" applyFont="1" applyFill="1"/>
    <xf numFmtId="41" fontId="4" fillId="2" borderId="1" xfId="3" applyFont="1" applyFill="1" applyBorder="1"/>
    <xf numFmtId="10" fontId="4" fillId="2" borderId="1" xfId="2" applyNumberFormat="1" applyFont="1" applyFill="1" applyBorder="1"/>
    <xf numFmtId="41" fontId="0" fillId="2" borderId="0" xfId="3" applyFont="1" applyFill="1"/>
    <xf numFmtId="9" fontId="2" fillId="2" borderId="0" xfId="0" applyNumberFormat="1" applyFont="1" applyFill="1"/>
    <xf numFmtId="166" fontId="0" fillId="2" borderId="0" xfId="2" applyNumberFormat="1" applyFont="1" applyFill="1"/>
    <xf numFmtId="10" fontId="0" fillId="2" borderId="0" xfId="2" applyNumberFormat="1" applyFont="1" applyFill="1"/>
    <xf numFmtId="164" fontId="0" fillId="2" borderId="7" xfId="1" applyFont="1" applyFill="1" applyBorder="1"/>
    <xf numFmtId="0" fontId="21" fillId="2" borderId="14" xfId="0" applyFont="1" applyFill="1" applyBorder="1"/>
    <xf numFmtId="41" fontId="14" fillId="10" borderId="0" xfId="5" applyFont="1" applyFill="1" applyBorder="1"/>
    <xf numFmtId="10" fontId="4" fillId="2" borderId="1" xfId="3" applyNumberFormat="1" applyFont="1" applyFill="1" applyBorder="1"/>
    <xf numFmtId="9" fontId="4" fillId="2" borderId="1" xfId="2" applyFont="1" applyFill="1" applyBorder="1" applyAlignment="1">
      <alignment horizontal="center"/>
    </xf>
    <xf numFmtId="10" fontId="0" fillId="2" borderId="22" xfId="2" applyNumberFormat="1" applyFont="1" applyFill="1" applyBorder="1"/>
    <xf numFmtId="10" fontId="0" fillId="2" borderId="0" xfId="0" applyNumberFormat="1" applyFill="1"/>
    <xf numFmtId="164" fontId="0" fillId="2" borderId="6" xfId="1" applyNumberFormat="1" applyFont="1" applyFill="1" applyBorder="1" applyAlignment="1">
      <alignment horizontal="center"/>
    </xf>
    <xf numFmtId="164" fontId="0" fillId="2" borderId="7" xfId="1" applyNumberFormat="1" applyFont="1" applyFill="1" applyBorder="1" applyAlignment="1">
      <alignment horizontal="center" vertical="center"/>
    </xf>
    <xf numFmtId="165" fontId="9" fillId="8" borderId="0" xfId="1" applyNumberFormat="1" applyFont="1" applyFill="1"/>
    <xf numFmtId="0" fontId="18" fillId="8" borderId="8" xfId="0" applyFont="1" applyFill="1" applyBorder="1" applyAlignment="1">
      <alignment horizontal="center"/>
    </xf>
    <xf numFmtId="0" fontId="18" fillId="8" borderId="15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0" fontId="17" fillId="8" borderId="12" xfId="0" applyFont="1" applyFill="1" applyBorder="1" applyAlignment="1">
      <alignment horizontal="center"/>
    </xf>
    <xf numFmtId="0" fontId="17" fillId="8" borderId="13" xfId="0" applyFont="1" applyFill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8" fillId="5" borderId="20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/>
    </xf>
  </cellXfs>
  <cellStyles count="7">
    <cellStyle name="Millares" xfId="1" builtinId="3"/>
    <cellStyle name="Millares [0]" xfId="3" builtinId="6"/>
    <cellStyle name="Millares [0] 2" xfId="5"/>
    <cellStyle name="Millares [0] 2 2" xfId="6"/>
    <cellStyle name="Millares 2" xf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Generación de utilidad  Activos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'Inductores de Rentabilidad'!$B$13</c:f>
              <c:strCache>
                <c:ptCount val="1"/>
                <c:pt idx="0">
                  <c:v>Activos Totales</c:v>
                </c:pt>
              </c:strCache>
            </c:strRef>
          </c:tx>
          <c:spPr>
            <a:ln w="34925" cap="rnd">
              <a:solidFill>
                <a:schemeClr val="accent2">
                  <a:shade val="76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1"/>
              <c:layout>
                <c:manualLayout>
                  <c:x val="8.3333333333332829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4-401F-9F3D-221A003403F8}"/>
                </c:ext>
              </c:extLst>
            </c:dLbl>
            <c:dLbl>
              <c:idx val="2"/>
              <c:layout>
                <c:manualLayout>
                  <c:x val="0"/>
                  <c:y val="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7A-4207-BCB7-CB110F1C2FAC}"/>
                </c:ext>
              </c:extLst>
            </c:dLbl>
            <c:dLbl>
              <c:idx val="3"/>
              <c:layout>
                <c:manualLayout>
                  <c:x val="0"/>
                  <c:y val="6.48148148148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4-401F-9F3D-221A003403F8}"/>
                </c:ext>
              </c:extLst>
            </c:dLbl>
            <c:dLbl>
              <c:idx val="4"/>
              <c:layout>
                <c:manualLayout>
                  <c:x val="-1.0185067526415994E-16"/>
                  <c:y val="-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4-401F-9F3D-221A00340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'Inductores de Rentabilidad'!$C$12:$G$12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de Rentabilidad'!$C$13:$G$13</c:f>
              <c:numCache>
                <c:formatCode>#,##0</c:formatCode>
                <c:ptCount val="3"/>
                <c:pt idx="0">
                  <c:v>18188171</c:v>
                </c:pt>
                <c:pt idx="1">
                  <c:v>20394516</c:v>
                </c:pt>
                <c:pt idx="2">
                  <c:v>24424705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4-401F-9F3D-221A003403F8}"/>
            </c:ext>
          </c:extLst>
        </c:ser>
        <c:ser>
          <c:idx val="1"/>
          <c:order val="1"/>
          <c:tx>
            <c:strRef>
              <c:f>'Inductores de Rentabilidad'!$B$14</c:f>
              <c:strCache>
                <c:ptCount val="1"/>
                <c:pt idx="0">
                  <c:v>Utilidad Neta</c:v>
                </c:pt>
              </c:strCache>
            </c:strRef>
          </c:tx>
          <c:spPr>
            <a:ln w="34925" cap="rnd">
              <a:solidFill>
                <a:schemeClr val="accent2">
                  <a:tint val="77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4-401F-9F3D-221A003403F8}"/>
                </c:ext>
              </c:extLst>
            </c:dLbl>
            <c:dLbl>
              <c:idx val="1"/>
              <c:layout>
                <c:manualLayout>
                  <c:x val="2.7777777777777779E-3"/>
                  <c:y val="-9.2592592592592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4-401F-9F3D-221A003403F8}"/>
                </c:ext>
              </c:extLst>
            </c:dLbl>
            <c:dLbl>
              <c:idx val="2"/>
              <c:layout>
                <c:manualLayout>
                  <c:x val="2.7777777777777779E-3"/>
                  <c:y val="-7.870370370370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4-401F-9F3D-221A003403F8}"/>
                </c:ext>
              </c:extLst>
            </c:dLbl>
            <c:dLbl>
              <c:idx val="3"/>
              <c:layout>
                <c:manualLayout>
                  <c:x val="0"/>
                  <c:y val="-6.9444444444444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4-401F-9F3D-221A00340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'Inductores de Rentabilidad'!$C$12:$G$12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de Rentabilidad'!$C$14:$G$14</c:f>
              <c:numCache>
                <c:formatCode>#,##0</c:formatCode>
                <c:ptCount val="3"/>
                <c:pt idx="0">
                  <c:v>389919</c:v>
                </c:pt>
                <c:pt idx="1">
                  <c:v>1234779</c:v>
                </c:pt>
                <c:pt idx="2">
                  <c:v>1912723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4-401F-9F3D-221A00340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087488"/>
        <c:axId val="1636084160"/>
      </c:lineChart>
      <c:catAx>
        <c:axId val="163608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6084160"/>
        <c:crosses val="autoZero"/>
        <c:auto val="1"/>
        <c:lblAlgn val="ctr"/>
        <c:lblOffset val="100"/>
        <c:noMultiLvlLbl val="0"/>
      </c:catAx>
      <c:valAx>
        <c:axId val="1636084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608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'Inductores Operativos y Financi'!$B$92</c:f>
              <c:strCache>
                <c:ptCount val="1"/>
                <c:pt idx="0">
                  <c:v>PAF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Financi'!$C$89:$G$89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Financi'!$C$92:$G$92</c:f>
              <c:numCache>
                <c:formatCode>_-* #,##0.00\ _€_-;\-* #,##0.00\ _€_-;_-* "-"??\ _€_-;_-@_-</c:formatCode>
                <c:ptCount val="3"/>
                <c:pt idx="0">
                  <c:v>20.975937149350909</c:v>
                </c:pt>
                <c:pt idx="1">
                  <c:v>22.320706476229173</c:v>
                </c:pt>
                <c:pt idx="2">
                  <c:v>20.971976536435111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E-4A3D-AB43-3F7D3ED95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9672208"/>
        <c:axId val="1579671792"/>
      </c:lineChart>
      <c:catAx>
        <c:axId val="157967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9671792"/>
        <c:crosses val="autoZero"/>
        <c:auto val="1"/>
        <c:lblAlgn val="ctr"/>
        <c:lblOffset val="100"/>
        <c:noMultiLvlLbl val="0"/>
      </c:catAx>
      <c:valAx>
        <c:axId val="1579671792"/>
        <c:scaling>
          <c:orientation val="minMax"/>
          <c:min val="8"/>
        </c:scaling>
        <c:delete val="0"/>
        <c:axPos val="l"/>
        <c:numFmt formatCode="_-* #,##0.00\ _€_-;\-* #,##0.0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9672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'Inductores Operativos y Financi'!$B$110</c:f>
              <c:strCache>
                <c:ptCount val="1"/>
                <c:pt idx="0">
                  <c:v>PDC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Financi'!$C$107:$G$107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Financi'!$C$110:$G$110</c:f>
              <c:numCache>
                <c:formatCode>_-* #,##0.00\ _€_-;\-* #,##0.00\ _€_-;_-* "-"??\ _€_-;_-@_-</c:formatCode>
                <c:ptCount val="3"/>
                <c:pt idx="0">
                  <c:v>0.70026328878669741</c:v>
                </c:pt>
                <c:pt idx="1">
                  <c:v>1.7447208299322761</c:v>
                </c:pt>
                <c:pt idx="2">
                  <c:v>1.3898627294832979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6-47AA-A1D8-255BAA7F2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0940192"/>
        <c:axId val="1830931040"/>
      </c:lineChart>
      <c:catAx>
        <c:axId val="183094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0931040"/>
        <c:crosses val="autoZero"/>
        <c:auto val="1"/>
        <c:lblAlgn val="ctr"/>
        <c:lblOffset val="100"/>
        <c:noMultiLvlLbl val="0"/>
      </c:catAx>
      <c:valAx>
        <c:axId val="1830931040"/>
        <c:scaling>
          <c:orientation val="minMax"/>
          <c:min val="0.2"/>
        </c:scaling>
        <c:delete val="0"/>
        <c:axPos val="l"/>
        <c:numFmt formatCode="_-* #,##0.00\ _€_-;\-* #,##0.0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094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Flujo de caja libre FCL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Financi'!$C$107:$G$107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'Flujo de Caja'!$C$13:$G$13</c:f>
              <c:numCache>
                <c:formatCode>_(* #,##0_);_(* \(#,##0\);_(* "-"_);_(@_)</c:formatCode>
                <c:ptCount val="3"/>
                <c:pt idx="0">
                  <c:v>5565810</c:v>
                </c:pt>
                <c:pt idx="1">
                  <c:v>8935577</c:v>
                </c:pt>
                <c:pt idx="2">
                  <c:v>4580234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E-4902-AF10-C105E6FD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0930208"/>
        <c:axId val="1830936448"/>
      </c:lineChart>
      <c:catAx>
        <c:axId val="183093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0936448"/>
        <c:crosses val="autoZero"/>
        <c:auto val="1"/>
        <c:lblAlgn val="ctr"/>
        <c:lblOffset val="100"/>
        <c:noMultiLvlLbl val="0"/>
      </c:catAx>
      <c:valAx>
        <c:axId val="183093644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093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Concentración Endeudamiento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C04F-4E9F-9A22-335F31821CB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C04F-4E9F-9A22-335F31821CBB}"/>
              </c:ext>
            </c:extLst>
          </c:dPt>
          <c:dLbls>
            <c:dLbl>
              <c:idx val="0"/>
              <c:layout>
                <c:manualLayout>
                  <c:x val="0.13457447506561679"/>
                  <c:y val="-0.189294619422572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4F-4E9F-9A22-335F31821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'Razones Financieras'!$B$23:$B$24</c:f>
              <c:strCache>
                <c:ptCount val="2"/>
                <c:pt idx="0">
                  <c:v>Concentracion de Endeudamiento a Corto Plazo</c:v>
                </c:pt>
                <c:pt idx="1">
                  <c:v>Concentracion de Endeudamiento a Largo Plazo</c:v>
                </c:pt>
              </c:strCache>
            </c:strRef>
          </c:cat>
          <c:val>
            <c:numRef>
              <c:f>'Razones Financieras'!$G$23:$G$24</c:f>
              <c:numCache>
                <c:formatCode>0.00%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4F-4E9F-9A22-335F31821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Concentración Endeudamiento 2018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C15-4828-84D6-6A12DD196AD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C15-4828-84D6-6A12DD196AD3}"/>
              </c:ext>
            </c:extLst>
          </c:dPt>
          <c:dLbls>
            <c:dLbl>
              <c:idx val="0"/>
              <c:layout>
                <c:manualLayout>
                  <c:x val="0.12362478127734033"/>
                  <c:y val="-0.18264654418197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5-4828-84D6-6A12DD196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('Razones Financieras'!$B$23,'Razones Financieras'!$B$24)</c:f>
              <c:strCache>
                <c:ptCount val="2"/>
                <c:pt idx="0">
                  <c:v>Concentracion de Endeudamiento a Corto Plazo</c:v>
                </c:pt>
                <c:pt idx="1">
                  <c:v>Concentracion de Endeudamiento a Largo Plazo</c:v>
                </c:pt>
              </c:strCache>
            </c:strRef>
          </c:cat>
          <c:val>
            <c:numRef>
              <c:f>('Razones Financieras'!$F$23,'Razones Financieras'!$F$24)</c:f>
              <c:numCache>
                <c:formatCode>0.00%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15-4828-84D6-6A12DD196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'Inductores de Rentabilidad'!$B$15</c:f>
              <c:strCache>
                <c:ptCount val="1"/>
                <c:pt idx="0">
                  <c:v>ROA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de Rentabilidad'!$C$12:$G$12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de Rentabilidad'!$C$15:$G$15</c:f>
              <c:numCache>
                <c:formatCode>0.00%</c:formatCode>
                <c:ptCount val="3"/>
                <c:pt idx="0">
                  <c:v>2.1438054436589582E-2</c:v>
                </c:pt>
                <c:pt idx="1">
                  <c:v>6.0544658181640593E-2</c:v>
                </c:pt>
                <c:pt idx="2">
                  <c:v>7.8310997000782603E-2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3-4268-A3D1-AA53732E2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8285200"/>
        <c:axId val="1342354224"/>
      </c:lineChart>
      <c:catAx>
        <c:axId val="156828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42354224"/>
        <c:crosses val="autoZero"/>
        <c:auto val="1"/>
        <c:lblAlgn val="ctr"/>
        <c:lblOffset val="100"/>
        <c:noMultiLvlLbl val="0"/>
      </c:catAx>
      <c:valAx>
        <c:axId val="134235422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828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Ventas - UODI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'Inductores de Rentabilidad'!$B$33</c:f>
              <c:strCache>
                <c:ptCount val="1"/>
                <c:pt idx="0">
                  <c:v>Ventas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77000"/>
                    <a:shade val="51000"/>
                    <a:satMod val="130000"/>
                  </a:schemeClr>
                </a:gs>
                <a:gs pos="80000">
                  <a:schemeClr val="accent2">
                    <a:tint val="77000"/>
                    <a:shade val="93000"/>
                    <a:satMod val="130000"/>
                  </a:schemeClr>
                </a:gs>
                <a:gs pos="100000">
                  <a:schemeClr val="accent2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de Rentabilidad'!$C$28:$G$28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de Rentabilidad'!$C$33:$G$33</c:f>
              <c:numCache>
                <c:formatCode>_-* #,##0\ _€_-;\-* #,##0\ _€_-;_-* "-"??\ _€_-;_-@_-</c:formatCode>
                <c:ptCount val="3"/>
                <c:pt idx="0">
                  <c:v>35125738</c:v>
                </c:pt>
                <c:pt idx="1">
                  <c:v>41528969</c:v>
                </c:pt>
                <c:pt idx="2">
                  <c:v>47339770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8-4966-A7A6-3D628214D320}"/>
            </c:ext>
          </c:extLst>
        </c:ser>
        <c:ser>
          <c:idx val="0"/>
          <c:order val="1"/>
          <c:tx>
            <c:strRef>
              <c:f>'Inductores de Rentabilidad'!$B$31</c:f>
              <c:strCache>
                <c:ptCount val="1"/>
                <c:pt idx="0">
                  <c:v>UODI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76000"/>
                    <a:shade val="51000"/>
                    <a:satMod val="130000"/>
                  </a:schemeClr>
                </a:gs>
                <a:gs pos="80000">
                  <a:schemeClr val="accent2">
                    <a:shade val="76000"/>
                    <a:shade val="93000"/>
                    <a:satMod val="130000"/>
                  </a:schemeClr>
                </a:gs>
                <a:gs pos="100000">
                  <a:schemeClr val="accent2">
                    <a:shade val="7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de Rentabilidad'!$C$28:$G$28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de Rentabilidad'!$C$31:$G$31</c:f>
              <c:numCache>
                <c:formatCode>_-* #,##0\ _€_-;\-* #,##0\ _€_-;_-* "-"??\ _€_-;_-@_-</c:formatCode>
                <c:ptCount val="3"/>
                <c:pt idx="0">
                  <c:v>725354.41020937439</c:v>
                </c:pt>
                <c:pt idx="1">
                  <c:v>1422321.5836104846</c:v>
                </c:pt>
                <c:pt idx="2">
                  <c:v>2558403.5610467913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8-4966-A7A6-3D628214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36731248"/>
        <c:axId val="1636729584"/>
      </c:barChart>
      <c:catAx>
        <c:axId val="163673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6729584"/>
        <c:crosses val="autoZero"/>
        <c:auto val="1"/>
        <c:lblAlgn val="ctr"/>
        <c:lblOffset val="100"/>
        <c:noMultiLvlLbl val="0"/>
      </c:catAx>
      <c:valAx>
        <c:axId val="1636729584"/>
        <c:scaling>
          <c:orientation val="minMax"/>
        </c:scaling>
        <c:delete val="0"/>
        <c:axPos val="l"/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673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Distancia operacional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Informe!$N$34</c:f>
              <c:strCache>
                <c:ptCount val="1"/>
                <c:pt idx="0">
                  <c:v>ROA</c:v>
                </c:pt>
              </c:strCache>
            </c:strRef>
          </c:tx>
          <c:spPr>
            <a:ln w="34925" cap="rnd">
              <a:solidFill>
                <a:schemeClr val="accent2">
                  <a:shade val="76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9A-4842-A9D0-25E5A1BFC7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9A-4842-A9D0-25E5A1BFC71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9A-4842-A9D0-25E5A1BFC71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A-4842-A9D0-25E5A1BFC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de Rentabilidad'!$C$49:$G$49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Informe!$O$34:$S$34</c:f>
              <c:numCache>
                <c:formatCode>0.00%</c:formatCode>
                <c:ptCount val="5"/>
                <c:pt idx="0">
                  <c:v>5.3431236539670933E-2</c:v>
                </c:pt>
                <c:pt idx="1">
                  <c:v>5.3431236539670933E-2</c:v>
                </c:pt>
                <c:pt idx="2">
                  <c:v>5.3431236539670933E-2</c:v>
                </c:pt>
                <c:pt idx="3">
                  <c:v>5.3431236539670933E-2</c:v>
                </c:pt>
                <c:pt idx="4">
                  <c:v>5.3431236539670933E-2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A-4842-A9D0-25E5A1BFC71F}"/>
            </c:ext>
          </c:extLst>
        </c:ser>
        <c:ser>
          <c:idx val="1"/>
          <c:order val="1"/>
          <c:tx>
            <c:strRef>
              <c:f>Informe!$N$35</c:f>
              <c:strCache>
                <c:ptCount val="1"/>
                <c:pt idx="0">
                  <c:v>RAN</c:v>
                </c:pt>
              </c:strCache>
            </c:strRef>
          </c:tx>
          <c:spPr>
            <a:ln w="34925" cap="rnd">
              <a:solidFill>
                <a:schemeClr val="accent2">
                  <a:tint val="77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A-4842-A9D0-25E5A1BFC7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9A-4842-A9D0-25E5A1BFC71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9A-4842-A9D0-25E5A1BFC71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9A-4842-A9D0-25E5A1BFC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de Rentabilidad'!$C$49:$G$49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Informe!$O$35:$S$35</c:f>
              <c:numCache>
                <c:formatCode>0.00%</c:formatCode>
                <c:ptCount val="5"/>
                <c:pt idx="0">
                  <c:v>0.11894753251588082</c:v>
                </c:pt>
                <c:pt idx="1">
                  <c:v>0.11894753251588082</c:v>
                </c:pt>
                <c:pt idx="2">
                  <c:v>0.11894753251588082</c:v>
                </c:pt>
                <c:pt idx="3">
                  <c:v>0.11894753251588082</c:v>
                </c:pt>
                <c:pt idx="4">
                  <c:v>0.11894753251588082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9A-4842-A9D0-25E5A1BFC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7042048"/>
        <c:axId val="1327044128"/>
      </c:lineChart>
      <c:catAx>
        <c:axId val="132704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7044128"/>
        <c:crosses val="autoZero"/>
        <c:auto val="1"/>
        <c:lblAlgn val="ctr"/>
        <c:lblOffset val="100"/>
        <c:noMultiLvlLbl val="0"/>
      </c:catAx>
      <c:valAx>
        <c:axId val="1327044128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70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Ventas - Ebitda - Marge Ebitda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'Inductores Operativos y Financi'!$B$34</c:f>
              <c:strCache>
                <c:ptCount val="1"/>
                <c:pt idx="0">
                  <c:v>Ventas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65000"/>
                    <a:shade val="51000"/>
                    <a:satMod val="130000"/>
                  </a:schemeClr>
                </a:gs>
                <a:gs pos="80000">
                  <a:schemeClr val="accent2">
                    <a:shade val="65000"/>
                    <a:shade val="93000"/>
                    <a:satMod val="130000"/>
                  </a:schemeClr>
                </a:gs>
                <a:gs pos="100000">
                  <a:schemeClr val="accent2">
                    <a:shade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Financi'!$C$33:$G$33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Financi'!$C$34:$G$34</c:f>
              <c:numCache>
                <c:formatCode>#,##0</c:formatCode>
                <c:ptCount val="3"/>
                <c:pt idx="0">
                  <c:v>35125738</c:v>
                </c:pt>
                <c:pt idx="1">
                  <c:v>41528969</c:v>
                </c:pt>
                <c:pt idx="2">
                  <c:v>47339770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4-42E1-B205-12DE7AF58408}"/>
            </c:ext>
          </c:extLst>
        </c:ser>
        <c:ser>
          <c:idx val="1"/>
          <c:order val="1"/>
          <c:tx>
            <c:strRef>
              <c:f>'Inductores Operativos y Financi'!$B$35</c:f>
              <c:strCache>
                <c:ptCount val="1"/>
                <c:pt idx="0">
                  <c:v>EBITDA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Financi'!$C$33:$G$33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Financi'!$C$35:$G$35</c:f>
              <c:numCache>
                <c:formatCode>#,##0</c:formatCode>
                <c:ptCount val="3"/>
                <c:pt idx="0">
                  <c:v>4702310</c:v>
                </c:pt>
                <c:pt idx="1">
                  <c:v>6341884</c:v>
                </c:pt>
                <c:pt idx="2">
                  <c:v>8880022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64-42E1-B205-12DE7AF58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75302448"/>
        <c:axId val="1775299120"/>
      </c:barChart>
      <c:lineChart>
        <c:grouping val="standard"/>
        <c:varyColors val="0"/>
        <c:ser>
          <c:idx val="2"/>
          <c:order val="2"/>
          <c:tx>
            <c:strRef>
              <c:f>'Inductores Operativos y Financi'!$B$36</c:f>
              <c:strCache>
                <c:ptCount val="1"/>
                <c:pt idx="0">
                  <c:v>Margen EBITDA</c:v>
                </c:pt>
              </c:strCache>
            </c:strRef>
          </c:tx>
          <c:spPr>
            <a:ln w="34925" cap="rnd">
              <a:solidFill>
                <a:schemeClr val="accent2">
                  <a:tint val="65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65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2.2222222222222223E-2"/>
                  <c:y val="3.2407407407407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4-42E1-B205-12DE7AF58408}"/>
                </c:ext>
              </c:extLst>
            </c:dLbl>
            <c:dLbl>
              <c:idx val="1"/>
              <c:layout>
                <c:manualLayout>
                  <c:x val="-1.9444444444444445E-2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64-42E1-B205-12DE7AF58408}"/>
                </c:ext>
              </c:extLst>
            </c:dLbl>
            <c:dLbl>
              <c:idx val="2"/>
              <c:layout>
                <c:manualLayout>
                  <c:x val="-2.2222222222222223E-2"/>
                  <c:y val="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64-42E1-B205-12DE7AF58408}"/>
                </c:ext>
              </c:extLst>
            </c:dLbl>
            <c:dLbl>
              <c:idx val="3"/>
              <c:layout>
                <c:manualLayout>
                  <c:x val="-6.1111111111111109E-2"/>
                  <c:y val="-5.0925925925925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64-42E1-B205-12DE7AF58408}"/>
                </c:ext>
              </c:extLst>
            </c:dLbl>
            <c:dLbl>
              <c:idx val="4"/>
              <c:layout>
                <c:manualLayout>
                  <c:x val="-3.888888888888889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4-42E1-B205-12DE7AF58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'Inductores Operativos y Financi'!$C$33:$G$33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Financi'!$C$36:$G$36</c:f>
              <c:numCache>
                <c:formatCode>0.00%</c:formatCode>
                <c:ptCount val="3"/>
                <c:pt idx="0">
                  <c:v>0.13387078159041099</c:v>
                </c:pt>
                <c:pt idx="1">
                  <c:v>0.15270988306981567</c:v>
                </c:pt>
                <c:pt idx="2">
                  <c:v>0.18758059027325227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4-42E1-B205-12DE7AF58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10528"/>
        <c:axId val="1638028400"/>
      </c:lineChart>
      <c:catAx>
        <c:axId val="177530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75299120"/>
        <c:crosses val="autoZero"/>
        <c:auto val="1"/>
        <c:lblAlgn val="ctr"/>
        <c:lblOffset val="100"/>
        <c:noMultiLvlLbl val="0"/>
      </c:catAx>
      <c:valAx>
        <c:axId val="1775299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75302448"/>
        <c:crosses val="autoZero"/>
        <c:crossBetween val="between"/>
      </c:valAx>
      <c:valAx>
        <c:axId val="163802840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9210528"/>
        <c:crosses val="max"/>
        <c:crossBetween val="between"/>
      </c:valAx>
      <c:catAx>
        <c:axId val="1629210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8028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Ventas - Margen Ebitda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'Inductores Operativos y Financi'!$B$34</c:f>
              <c:strCache>
                <c:ptCount val="1"/>
                <c:pt idx="0">
                  <c:v>Ventas</c:v>
                </c:pt>
              </c:strCache>
            </c:strRef>
          </c:tx>
          <c:spPr>
            <a:ln w="34925" cap="rnd">
              <a:solidFill>
                <a:schemeClr val="accent2">
                  <a:shade val="76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'Inductores Operativos y Financi'!$C$33:$G$33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Financi'!$C$34:$G$34</c:f>
              <c:numCache>
                <c:formatCode>#,##0</c:formatCode>
                <c:ptCount val="3"/>
                <c:pt idx="0">
                  <c:v>35125738</c:v>
                </c:pt>
                <c:pt idx="1">
                  <c:v>41528969</c:v>
                </c:pt>
                <c:pt idx="2">
                  <c:v>47339770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4-4470-BE1B-E969781F2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2022400"/>
        <c:axId val="1772021152"/>
      </c:lineChart>
      <c:lineChart>
        <c:grouping val="standard"/>
        <c:varyColors val="0"/>
        <c:ser>
          <c:idx val="1"/>
          <c:order val="1"/>
          <c:tx>
            <c:strRef>
              <c:f>'Inductores Operativos y Financi'!$B$36</c:f>
              <c:strCache>
                <c:ptCount val="1"/>
                <c:pt idx="0">
                  <c:v>Margen EBITDA</c:v>
                </c:pt>
              </c:strCache>
            </c:strRef>
          </c:tx>
          <c:spPr>
            <a:ln w="34925" cap="rnd">
              <a:solidFill>
                <a:schemeClr val="accent2">
                  <a:tint val="77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'Inductores Operativos y Financi'!$C$33:$G$33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Financi'!$C$36:$G$36</c:f>
              <c:numCache>
                <c:formatCode>0.00%</c:formatCode>
                <c:ptCount val="3"/>
                <c:pt idx="0">
                  <c:v>0.13387078159041099</c:v>
                </c:pt>
                <c:pt idx="1">
                  <c:v>0.15270988306981567</c:v>
                </c:pt>
                <c:pt idx="2">
                  <c:v>0.18758059027325227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4-4470-BE1B-E969781F2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7668096"/>
        <c:axId val="1767680160"/>
      </c:lineChart>
      <c:catAx>
        <c:axId val="177202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72021152"/>
        <c:crosses val="autoZero"/>
        <c:auto val="1"/>
        <c:lblAlgn val="ctr"/>
        <c:lblOffset val="100"/>
        <c:noMultiLvlLbl val="0"/>
      </c:catAx>
      <c:valAx>
        <c:axId val="177202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72022400"/>
        <c:crosses val="autoZero"/>
        <c:crossBetween val="between"/>
      </c:valAx>
      <c:valAx>
        <c:axId val="1767680160"/>
        <c:scaling>
          <c:orientation val="minMax"/>
          <c:max val="0.30000000000000004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7668096"/>
        <c:crosses val="max"/>
        <c:crossBetween val="between"/>
      </c:valAx>
      <c:catAx>
        <c:axId val="1767668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67680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Componentes KTNO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CXC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Financi'!$C$64:$G$64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Financi'!$C$65:$G$65</c:f>
              <c:numCache>
                <c:formatCode>#,##0</c:formatCode>
                <c:ptCount val="3"/>
                <c:pt idx="0">
                  <c:v>4818344</c:v>
                </c:pt>
                <c:pt idx="1">
                  <c:v>7030714</c:v>
                </c:pt>
                <c:pt idx="2">
                  <c:v>7468543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C-42E4-89BA-0CAF2FF87582}"/>
            </c:ext>
          </c:extLst>
        </c:ser>
        <c:ser>
          <c:idx val="1"/>
          <c:order val="1"/>
          <c:tx>
            <c:v>Inventarios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2.7777777777777779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BF-4ECD-9225-960EE784A111}"/>
                </c:ext>
              </c:extLst>
            </c:dLbl>
            <c:dLbl>
              <c:idx val="1"/>
              <c:layout>
                <c:manualLayout>
                  <c:x val="0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BF-4ECD-9225-960EE784A111}"/>
                </c:ext>
              </c:extLst>
            </c:dLbl>
            <c:dLbl>
              <c:idx val="2"/>
              <c:layout>
                <c:manualLayout>
                  <c:x val="0"/>
                  <c:y val="-4.62962962962967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BF-4ECD-9225-960EE784A111}"/>
                </c:ext>
              </c:extLst>
            </c:dLbl>
            <c:dLbl>
              <c:idx val="3"/>
              <c:layout>
                <c:manualLayout>
                  <c:x val="-5.5555555555556572E-3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BF-4ECD-9225-960EE784A111}"/>
                </c:ext>
              </c:extLst>
            </c:dLbl>
            <c:dLbl>
              <c:idx val="4"/>
              <c:layout>
                <c:manualLayout>
                  <c:x val="0"/>
                  <c:y val="-0.18055555555555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F-4ECD-9225-960EE784A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'Inductores Operativos y Financi'!$C$64:$G$64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Financi'!$C$66:$G$66</c:f>
              <c:numCache>
                <c:formatCode>#,##0</c:formatCode>
                <c:ptCount val="3"/>
                <c:pt idx="0">
                  <c:v>6520213</c:v>
                </c:pt>
                <c:pt idx="1">
                  <c:v>5035879</c:v>
                </c:pt>
                <c:pt idx="2">
                  <c:v>7698465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DC-42E4-89BA-0CAF2FF87582}"/>
            </c:ext>
          </c:extLst>
        </c:ser>
        <c:ser>
          <c:idx val="2"/>
          <c:order val="2"/>
          <c:tx>
            <c:v>CXP proveedores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Financi'!$C$64:$G$64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Financi'!$C$70:$G$70</c:f>
              <c:numCache>
                <c:formatCode>_-* #,##0\ _€_-;\-* #,##0\ _€_-;_-* "-"??\ _€_-;_-@_-</c:formatCode>
                <c:ptCount val="3"/>
                <c:pt idx="0">
                  <c:v>-4623497</c:v>
                </c:pt>
                <c:pt idx="1">
                  <c:v>-8431694</c:v>
                </c:pt>
                <c:pt idx="2">
                  <c:v>-8777872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DC-42E4-89BA-0CAF2FF87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6730832"/>
        <c:axId val="1636731664"/>
      </c:barChart>
      <c:catAx>
        <c:axId val="163673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6731664"/>
        <c:crosses val="autoZero"/>
        <c:auto val="1"/>
        <c:lblAlgn val="ctr"/>
        <c:lblOffset val="100"/>
        <c:noMultiLvlLbl val="0"/>
      </c:catAx>
      <c:valAx>
        <c:axId val="1636731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673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'Inductores Operativos y Financi'!$B$76</c:f>
              <c:strCache>
                <c:ptCount val="1"/>
                <c:pt idx="0">
                  <c:v>PKT Centavos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Financi'!$C$89:$G$89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Financi'!$C$76:$G$76</c:f>
              <c:numCache>
                <c:formatCode>_-* #,##0.00\ _€_-;\-* #,##0.00\ _€_-;_-* "-"??\ _€_-;_-@_-</c:formatCode>
                <c:ptCount val="3"/>
                <c:pt idx="0">
                  <c:v>0.19117206875482587</c:v>
                </c:pt>
                <c:pt idx="1">
                  <c:v>8.7526829765506575E-2</c:v>
                </c:pt>
                <c:pt idx="2">
                  <c:v>0.13496339335826937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A-4D20-849D-E8073AD72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67691872"/>
        <c:axId val="1767689376"/>
      </c:barChart>
      <c:catAx>
        <c:axId val="176769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7689376"/>
        <c:crosses val="autoZero"/>
        <c:auto val="1"/>
        <c:lblAlgn val="ctr"/>
        <c:lblOffset val="100"/>
        <c:noMultiLvlLbl val="0"/>
      </c:catAx>
      <c:valAx>
        <c:axId val="1767689376"/>
        <c:scaling>
          <c:orientation val="minMax"/>
        </c:scaling>
        <c:delete val="0"/>
        <c:axPos val="l"/>
        <c:numFmt formatCode="_-* #,##0.00\ _€_-;\-* #,##0.0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7691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Ventas  - Activos Fijos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'Inductores Operativos y Financi'!$B$91</c:f>
              <c:strCache>
                <c:ptCount val="1"/>
                <c:pt idx="0">
                  <c:v>Activos Fijos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77000"/>
                    <a:shade val="51000"/>
                    <a:satMod val="130000"/>
                  </a:schemeClr>
                </a:gs>
                <a:gs pos="80000">
                  <a:schemeClr val="accent2">
                    <a:tint val="77000"/>
                    <a:shade val="93000"/>
                    <a:satMod val="130000"/>
                  </a:schemeClr>
                </a:gs>
                <a:gs pos="100000">
                  <a:schemeClr val="accent2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Financi'!$C$89:$G$89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Financi'!$C$91:$G$91</c:f>
              <c:numCache>
                <c:formatCode>_-* #,##0\ _€_-;\-* #,##0\ _€_-;_-* "-"??\ _€_-;_-@_-</c:formatCode>
                <c:ptCount val="3"/>
                <c:pt idx="0">
                  <c:v>1674573</c:v>
                </c:pt>
                <c:pt idx="1">
                  <c:v>1860558</c:v>
                </c:pt>
                <c:pt idx="2">
                  <c:v>2257287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0-4FC8-A8E2-B5BBD94F6BC4}"/>
            </c:ext>
          </c:extLst>
        </c:ser>
        <c:ser>
          <c:idx val="0"/>
          <c:order val="1"/>
          <c:tx>
            <c:strRef>
              <c:f>'Inductores Operativos y Financi'!$B$90</c:f>
              <c:strCache>
                <c:ptCount val="1"/>
                <c:pt idx="0">
                  <c:v>Ventas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76000"/>
                    <a:shade val="51000"/>
                    <a:satMod val="130000"/>
                  </a:schemeClr>
                </a:gs>
                <a:gs pos="80000">
                  <a:schemeClr val="accent2">
                    <a:shade val="76000"/>
                    <a:shade val="93000"/>
                    <a:satMod val="130000"/>
                  </a:schemeClr>
                </a:gs>
                <a:gs pos="100000">
                  <a:schemeClr val="accent2">
                    <a:shade val="7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'Inductores Operativos y Financi'!$C$89:$G$89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'Inductores Operativos y Financi'!$C$90:$G$90</c:f>
              <c:numCache>
                <c:formatCode>#,##0</c:formatCode>
                <c:ptCount val="3"/>
                <c:pt idx="0">
                  <c:v>35125738</c:v>
                </c:pt>
                <c:pt idx="1">
                  <c:v>41528969</c:v>
                </c:pt>
                <c:pt idx="2">
                  <c:v>47339770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0-4FC8-A8E2-B5BBD94F6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769051536"/>
        <c:axId val="1769051952"/>
      </c:barChart>
      <c:catAx>
        <c:axId val="1769051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9051952"/>
        <c:crosses val="autoZero"/>
        <c:auto val="1"/>
        <c:lblAlgn val="ctr"/>
        <c:lblOffset val="100"/>
        <c:noMultiLvlLbl val="0"/>
      </c:catAx>
      <c:valAx>
        <c:axId val="1769051952"/>
        <c:scaling>
          <c:orientation val="minMax"/>
        </c:scaling>
        <c:delete val="1"/>
        <c:axPos val="b"/>
        <c:numFmt formatCode="_-* #,##0\ _€_-;\-* #,##0\ _€_-;_-* &quot;-&quot;??\ _€_-;_-@_-" sourceLinked="1"/>
        <c:majorTickMark val="none"/>
        <c:minorTickMark val="none"/>
        <c:tickLblPos val="nextTo"/>
        <c:crossAx val="176905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5" Type="http://schemas.openxmlformats.org/officeDocument/2006/relationships/chart" Target="../charts/chart1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3905250</xdr:colOff>
      <xdr:row>9</xdr:row>
      <xdr:rowOff>25003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C359E7-8639-481A-AB98-BFF5872A4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5250" cy="2196703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68</xdr:row>
      <xdr:rowOff>0</xdr:rowOff>
    </xdr:from>
    <xdr:to>
      <xdr:col>9</xdr:col>
      <xdr:colOff>580798</xdr:colOff>
      <xdr:row>71</xdr:row>
      <xdr:rowOff>91988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20083" y="14351000"/>
          <a:ext cx="1819048" cy="6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3905250</xdr:colOff>
      <xdr:row>10</xdr:row>
      <xdr:rowOff>5953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33CA3-1DB7-4AD5-9A95-171E5FA7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3905250" cy="21967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4000499</xdr:colOff>
      <xdr:row>4</xdr:row>
      <xdr:rowOff>171450</xdr:rowOff>
    </xdr:from>
    <xdr:to>
      <xdr:col>7</xdr:col>
      <xdr:colOff>47624</xdr:colOff>
      <xdr:row>7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000499" y="1219200"/>
          <a:ext cx="10963275" cy="542925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2000" b="1">
              <a:solidFill>
                <a:schemeClr val="bg1"/>
              </a:solidFill>
            </a:rPr>
            <a:t>EBITDA  = EBIT + Amortizaciones</a:t>
          </a:r>
          <a:r>
            <a:rPr lang="es-ES" sz="2000" b="1" baseline="0">
              <a:solidFill>
                <a:schemeClr val="bg1"/>
              </a:solidFill>
            </a:rPr>
            <a:t> + Depreciaciones</a:t>
          </a:r>
          <a:endParaRPr lang="es-ES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3971925</xdr:colOff>
      <xdr:row>8</xdr:row>
      <xdr:rowOff>114300</xdr:rowOff>
    </xdr:from>
    <xdr:to>
      <xdr:col>7</xdr:col>
      <xdr:colOff>47625</xdr:colOff>
      <xdr:row>11</xdr:row>
      <xdr:rowOff>57150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71925" y="1924050"/>
          <a:ext cx="10991850" cy="514350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2000" b="1">
              <a:solidFill>
                <a:schemeClr val="bg1"/>
              </a:solidFill>
            </a:rPr>
            <a:t>Margen</a:t>
          </a:r>
          <a:r>
            <a:rPr lang="es-ES" sz="2000" b="1" baseline="0">
              <a:solidFill>
                <a:schemeClr val="bg1"/>
              </a:solidFill>
            </a:rPr>
            <a:t> </a:t>
          </a:r>
          <a:r>
            <a:rPr lang="es-ES" sz="2000" b="1">
              <a:solidFill>
                <a:schemeClr val="bg1"/>
              </a:solidFill>
            </a:rPr>
            <a:t>EBITDA  = EBITDA</a:t>
          </a:r>
          <a:r>
            <a:rPr lang="es-ES" sz="2000" b="1" baseline="0">
              <a:solidFill>
                <a:schemeClr val="bg1"/>
              </a:solidFill>
            </a:rPr>
            <a:t> / Ventas</a:t>
          </a:r>
          <a:endParaRPr lang="es-ES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6</xdr:col>
      <xdr:colOff>1162050</xdr:colOff>
      <xdr:row>44</xdr:row>
      <xdr:rowOff>85725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010025" y="9334500"/>
          <a:ext cx="10868025" cy="657225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2000" b="1">
              <a:solidFill>
                <a:schemeClr val="bg1"/>
              </a:solidFill>
            </a:rPr>
            <a:t>PKT = KTNO</a:t>
          </a:r>
          <a:r>
            <a:rPr lang="es-ES" sz="2000" b="1" baseline="0">
              <a:solidFill>
                <a:schemeClr val="bg1"/>
              </a:solidFill>
            </a:rPr>
            <a:t> / Ventas</a:t>
          </a:r>
          <a:endParaRPr lang="es-ES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38100</xdr:colOff>
      <xdr:row>46</xdr:row>
      <xdr:rowOff>133350</xdr:rowOff>
    </xdr:from>
    <xdr:to>
      <xdr:col>6</xdr:col>
      <xdr:colOff>1152525</xdr:colOff>
      <xdr:row>51</xdr:row>
      <xdr:rowOff>142875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048125" y="10420350"/>
          <a:ext cx="10820400" cy="962025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1800" b="1">
              <a:solidFill>
                <a:schemeClr val="bg1"/>
              </a:solidFill>
            </a:rPr>
            <a:t>Productividad</a:t>
          </a:r>
          <a:r>
            <a:rPr lang="es-ES" sz="1800" b="1" baseline="0">
              <a:solidFill>
                <a:schemeClr val="bg1"/>
              </a:solidFill>
            </a:rPr>
            <a:t> del Capital de Trabajo </a:t>
          </a:r>
          <a:r>
            <a:rPr lang="es-ES" sz="18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" OLG Comenta: “Visto de esta forma lo interpretaríamos como la cantidad de centavos que se requiere  por cada peso que la empresa vende”</a:t>
          </a:r>
        </a:p>
      </xdr:txBody>
    </xdr:sp>
    <xdr:clientData/>
  </xdr:twoCellAnchor>
  <xdr:twoCellAnchor>
    <xdr:from>
      <xdr:col>1</xdr:col>
      <xdr:colOff>0</xdr:colOff>
      <xdr:row>56</xdr:row>
      <xdr:rowOff>0</xdr:rowOff>
    </xdr:from>
    <xdr:to>
      <xdr:col>6</xdr:col>
      <xdr:colOff>1162050</xdr:colOff>
      <xdr:row>60</xdr:row>
      <xdr:rowOff>85725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010025" y="12334875"/>
          <a:ext cx="10868025" cy="847725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2000" b="1">
              <a:solidFill>
                <a:schemeClr val="bg1"/>
              </a:solidFill>
              <a:latin typeface="+mn-lt"/>
              <a:ea typeface="+mn-ea"/>
              <a:cs typeface="+mn-cs"/>
            </a:rPr>
            <a:t>KTO = Cuentas por cobrar + Inventario</a:t>
          </a:r>
          <a:endParaRPr lang="es-ES" sz="2000" b="1">
            <a:solidFill>
              <a:schemeClr val="bg1"/>
            </a:solidFill>
          </a:endParaRPr>
        </a:p>
        <a:p>
          <a:pPr algn="ctr"/>
          <a:r>
            <a:rPr lang="es-ES" sz="2000" b="1">
              <a:solidFill>
                <a:schemeClr val="bg1"/>
              </a:solidFill>
            </a:rPr>
            <a:t>KTNO = KTO - cuentas por pagar proveedores</a:t>
          </a:r>
        </a:p>
      </xdr:txBody>
    </xdr:sp>
    <xdr:clientData/>
  </xdr:twoCellAnchor>
  <xdr:twoCellAnchor>
    <xdr:from>
      <xdr:col>1</xdr:col>
      <xdr:colOff>0</xdr:colOff>
      <xdr:row>83</xdr:row>
      <xdr:rowOff>0</xdr:rowOff>
    </xdr:from>
    <xdr:to>
      <xdr:col>7</xdr:col>
      <xdr:colOff>0</xdr:colOff>
      <xdr:row>85</xdr:row>
      <xdr:rowOff>123825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010025" y="18288000"/>
          <a:ext cx="10906125" cy="504825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2000" b="1">
              <a:solidFill>
                <a:schemeClr val="bg1"/>
              </a:solidFill>
            </a:rPr>
            <a:t>PAF = Ventas</a:t>
          </a:r>
          <a:r>
            <a:rPr lang="es-ES" sz="2000" b="1" baseline="0">
              <a:solidFill>
                <a:schemeClr val="bg1"/>
              </a:solidFill>
            </a:rPr>
            <a:t> / Activos Fijos</a:t>
          </a:r>
          <a:endParaRPr lang="es-ES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98</xdr:row>
      <xdr:rowOff>0</xdr:rowOff>
    </xdr:from>
    <xdr:to>
      <xdr:col>3</xdr:col>
      <xdr:colOff>95250</xdr:colOff>
      <xdr:row>103</xdr:row>
      <xdr:rowOff>9525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762000" y="23850600"/>
          <a:ext cx="6038850" cy="962025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2000" b="1">
              <a:solidFill>
                <a:schemeClr val="bg1"/>
              </a:solidFill>
            </a:rPr>
            <a:t>Palanca de Crecimiento  = Margen</a:t>
          </a:r>
          <a:r>
            <a:rPr lang="es-ES" sz="2000" b="1" baseline="0">
              <a:solidFill>
                <a:schemeClr val="bg1"/>
              </a:solidFill>
            </a:rPr>
            <a:t> EBITDA/ PKT</a:t>
          </a:r>
          <a:endParaRPr lang="es-ES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238124</xdr:colOff>
      <xdr:row>95</xdr:row>
      <xdr:rowOff>0</xdr:rowOff>
    </xdr:from>
    <xdr:to>
      <xdr:col>8</xdr:col>
      <xdr:colOff>361949</xdr:colOff>
      <xdr:row>104</xdr:row>
      <xdr:rowOff>14833</xdr:rowOff>
    </xdr:to>
    <xdr:sp macro="" textlink="">
      <xdr:nvSpPr>
        <xdr:cNvPr id="11" name="5 Rectángulo redondeado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6943724" y="23136225"/>
          <a:ext cx="5019675" cy="1872208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b="1">
              <a:solidFill>
                <a:schemeClr val="bg1"/>
              </a:solidFill>
            </a:rPr>
            <a:t>Menor a 1 PDC Desfavorable </a:t>
          </a:r>
          <a:r>
            <a:rPr lang="es-ES">
              <a:solidFill>
                <a:schemeClr val="bg1"/>
              </a:solidFill>
            </a:rPr>
            <a:t>(El crecimiento</a:t>
          </a:r>
          <a:r>
            <a:rPr lang="es-ES" baseline="0">
              <a:solidFill>
                <a:schemeClr val="bg1"/>
              </a:solidFill>
            </a:rPr>
            <a:t> en estas condiciones demandara efectivo)</a:t>
          </a:r>
          <a:endParaRPr lang="es-ES">
            <a:solidFill>
              <a:schemeClr val="bg1"/>
            </a:solidFill>
          </a:endParaRPr>
        </a:p>
        <a:p>
          <a:pPr algn="ctr"/>
          <a:endParaRPr lang="es-ES">
            <a:solidFill>
              <a:schemeClr val="bg1"/>
            </a:solidFill>
          </a:endParaRPr>
        </a:p>
        <a:p>
          <a:pPr algn="ctr"/>
          <a:r>
            <a:rPr lang="es-ES" b="1">
              <a:solidFill>
                <a:schemeClr val="bg1"/>
              </a:solidFill>
            </a:rPr>
            <a:t>Mayor a 1 PDC Favorable </a:t>
          </a:r>
          <a:r>
            <a:rPr lang="es-ES">
              <a:solidFill>
                <a:schemeClr val="bg1"/>
              </a:solidFill>
            </a:rPr>
            <a:t>( El crecimiento en estas condiciones demandara menos efectivo)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3905250</xdr:colOff>
      <xdr:row>10</xdr:row>
      <xdr:rowOff>5953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4E861D4-276A-4EC5-8618-867BEBAEF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5250" cy="21967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3752850</xdr:colOff>
      <xdr:row>46</xdr:row>
      <xdr:rowOff>104775</xdr:rowOff>
    </xdr:from>
    <xdr:to>
      <xdr:col>6</xdr:col>
      <xdr:colOff>600075</xdr:colOff>
      <xdr:row>46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3752850" y="9382125"/>
          <a:ext cx="7324725" cy="1905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704850</xdr:colOff>
      <xdr:row>39</xdr:row>
      <xdr:rowOff>161925</xdr:rowOff>
    </xdr:from>
    <xdr:to>
      <xdr:col>5</xdr:col>
      <xdr:colOff>704850</xdr:colOff>
      <xdr:row>46</xdr:row>
      <xdr:rowOff>114301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V="1">
          <a:off x="7010400" y="8086725"/>
          <a:ext cx="0" cy="1285876"/>
        </a:xfrm>
        <a:prstGeom prst="line">
          <a:avLst/>
        </a:prstGeom>
        <a:ln w="317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40</xdr:row>
      <xdr:rowOff>76200</xdr:rowOff>
    </xdr:from>
    <xdr:to>
      <xdr:col>2</xdr:col>
      <xdr:colOff>200025</xdr:colOff>
      <xdr:row>46</xdr:row>
      <xdr:rowOff>85725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3867150" y="8191500"/>
          <a:ext cx="9525" cy="1152525"/>
        </a:xfrm>
        <a:prstGeom prst="line">
          <a:avLst/>
        </a:prstGeom>
        <a:ln w="31750">
          <a:solidFill>
            <a:srgbClr val="7030A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2633297</xdr:colOff>
      <xdr:row>37</xdr:row>
      <xdr:rowOff>188302</xdr:rowOff>
    </xdr:from>
    <xdr:to>
      <xdr:col>2</xdr:col>
      <xdr:colOff>661622</xdr:colOff>
      <xdr:row>40</xdr:row>
      <xdr:rowOff>54952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6692412" y="7720379"/>
          <a:ext cx="944441" cy="43815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Periodo de cobro</a:t>
          </a:r>
        </a:p>
      </xdr:txBody>
    </xdr:sp>
    <xdr:clientData/>
  </xdr:twoCellAnchor>
  <xdr:twoCellAnchor>
    <xdr:from>
      <xdr:col>5</xdr:col>
      <xdr:colOff>133350</xdr:colOff>
      <xdr:row>36</xdr:row>
      <xdr:rowOff>66675</xdr:rowOff>
    </xdr:from>
    <xdr:to>
      <xdr:col>6</xdr:col>
      <xdr:colOff>200025</xdr:colOff>
      <xdr:row>39</xdr:row>
      <xdr:rowOff>142875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435004" y="7408252"/>
          <a:ext cx="1077790" cy="64770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Periodo de pago a proveedores</a:t>
          </a:r>
        </a:p>
      </xdr:txBody>
    </xdr:sp>
    <xdr:clientData/>
  </xdr:twoCellAnchor>
  <xdr:twoCellAnchor>
    <xdr:from>
      <xdr:col>1</xdr:col>
      <xdr:colOff>671146</xdr:colOff>
      <xdr:row>38</xdr:row>
      <xdr:rowOff>2931</xdr:rowOff>
    </xdr:from>
    <xdr:to>
      <xdr:col>1</xdr:col>
      <xdr:colOff>1614121</xdr:colOff>
      <xdr:row>40</xdr:row>
      <xdr:rowOff>60081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4730261" y="7725508"/>
          <a:ext cx="942975" cy="438150"/>
        </a:xfrm>
        <a:prstGeom prst="rect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Rotación de inventarios</a:t>
          </a:r>
        </a:p>
      </xdr:txBody>
    </xdr:sp>
    <xdr:clientData/>
  </xdr:twoCellAnchor>
  <xdr:twoCellAnchor>
    <xdr:from>
      <xdr:col>1</xdr:col>
      <xdr:colOff>1152525</xdr:colOff>
      <xdr:row>40</xdr:row>
      <xdr:rowOff>76200</xdr:rowOff>
    </xdr:from>
    <xdr:to>
      <xdr:col>1</xdr:col>
      <xdr:colOff>1162050</xdr:colOff>
      <xdr:row>46</xdr:row>
      <xdr:rowOff>85725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V="1">
          <a:off x="1914525" y="8191500"/>
          <a:ext cx="9525" cy="1152525"/>
        </a:xfrm>
        <a:prstGeom prst="line">
          <a:avLst/>
        </a:prstGeom>
        <a:ln w="31750">
          <a:solidFill>
            <a:schemeClr val="accent6">
              <a:lumMod val="75000"/>
            </a:schemeClr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2847975</xdr:colOff>
      <xdr:row>42</xdr:row>
      <xdr:rowOff>123825</xdr:rowOff>
    </xdr:from>
    <xdr:to>
      <xdr:col>1</xdr:col>
      <xdr:colOff>2857500</xdr:colOff>
      <xdr:row>46</xdr:row>
      <xdr:rowOff>95252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3609975" y="8620125"/>
          <a:ext cx="9525" cy="733427"/>
        </a:xfrm>
        <a:prstGeom prst="line">
          <a:avLst/>
        </a:prstGeom>
        <a:ln w="31750">
          <a:solidFill>
            <a:srgbClr val="0070C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1314450</xdr:colOff>
      <xdr:row>42</xdr:row>
      <xdr:rowOff>104775</xdr:rowOff>
    </xdr:from>
    <xdr:to>
      <xdr:col>1</xdr:col>
      <xdr:colOff>1323975</xdr:colOff>
      <xdr:row>46</xdr:row>
      <xdr:rowOff>76202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 flipV="1">
          <a:off x="2076450" y="8601075"/>
          <a:ext cx="9525" cy="733427"/>
        </a:xfrm>
        <a:prstGeom prst="line">
          <a:avLst/>
        </a:prstGeom>
        <a:ln w="31750">
          <a:solidFill>
            <a:srgbClr val="0070C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1333500</xdr:colOff>
      <xdr:row>42</xdr:row>
      <xdr:rowOff>123825</xdr:rowOff>
    </xdr:from>
    <xdr:to>
      <xdr:col>1</xdr:col>
      <xdr:colOff>2847975</xdr:colOff>
      <xdr:row>42</xdr:row>
      <xdr:rowOff>123827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 flipV="1">
          <a:off x="2095500" y="8620125"/>
          <a:ext cx="1514475" cy="2"/>
        </a:xfrm>
        <a:prstGeom prst="line">
          <a:avLst/>
        </a:prstGeom>
        <a:ln w="31750">
          <a:solidFill>
            <a:srgbClr val="0070C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1609725</xdr:colOff>
      <xdr:row>43</xdr:row>
      <xdr:rowOff>9525</xdr:rowOff>
    </xdr:from>
    <xdr:to>
      <xdr:col>1</xdr:col>
      <xdr:colOff>2552700</xdr:colOff>
      <xdr:row>46</xdr:row>
      <xdr:rowOff>57150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2371725" y="8696325"/>
          <a:ext cx="942975" cy="6191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Periodo</a:t>
          </a:r>
          <a:r>
            <a:rPr lang="es-CO" sz="1100" baseline="0">
              <a:solidFill>
                <a:sysClr val="windowText" lastClr="000000"/>
              </a:solidFill>
            </a:rPr>
            <a:t> de venta del cliente</a:t>
          </a:r>
          <a:endParaRPr lang="es-CO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828675</xdr:colOff>
      <xdr:row>42</xdr:row>
      <xdr:rowOff>171450</xdr:rowOff>
    </xdr:from>
    <xdr:to>
      <xdr:col>4</xdr:col>
      <xdr:colOff>828675</xdr:colOff>
      <xdr:row>47</xdr:row>
      <xdr:rowOff>171453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V="1">
          <a:off x="6257925" y="8667750"/>
          <a:ext cx="0" cy="952503"/>
        </a:xfrm>
        <a:prstGeom prst="line">
          <a:avLst/>
        </a:prstGeom>
        <a:ln w="31750">
          <a:solidFill>
            <a:srgbClr val="00B05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43</xdr:row>
      <xdr:rowOff>85725</xdr:rowOff>
    </xdr:from>
    <xdr:to>
      <xdr:col>1</xdr:col>
      <xdr:colOff>100013</xdr:colOff>
      <xdr:row>47</xdr:row>
      <xdr:rowOff>171453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endCxn id="29" idx="2"/>
        </xdr:cNvCxnSpPr>
      </xdr:nvCxnSpPr>
      <xdr:spPr>
        <a:xfrm flipV="1">
          <a:off x="4143375" y="8791575"/>
          <a:ext cx="14288" cy="847728"/>
        </a:xfrm>
        <a:prstGeom prst="line">
          <a:avLst/>
        </a:prstGeom>
        <a:ln w="31750">
          <a:solidFill>
            <a:srgbClr val="00B05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47</xdr:row>
      <xdr:rowOff>161925</xdr:rowOff>
    </xdr:from>
    <xdr:to>
      <xdr:col>4</xdr:col>
      <xdr:colOff>838200</xdr:colOff>
      <xdr:row>47</xdr:row>
      <xdr:rowOff>171450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CxnSpPr/>
      </xdr:nvCxnSpPr>
      <xdr:spPr>
        <a:xfrm>
          <a:off x="857250" y="9610725"/>
          <a:ext cx="5410200" cy="9525"/>
        </a:xfrm>
        <a:prstGeom prst="line">
          <a:avLst/>
        </a:prstGeom>
        <a:ln w="31750">
          <a:solidFill>
            <a:srgbClr val="00B05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3676650</xdr:colOff>
      <xdr:row>41</xdr:row>
      <xdr:rowOff>28575</xdr:rowOff>
    </xdr:from>
    <xdr:to>
      <xdr:col>1</xdr:col>
      <xdr:colOff>581025</xdr:colOff>
      <xdr:row>43</xdr:row>
      <xdr:rowOff>85725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3676650" y="8343900"/>
          <a:ext cx="962025" cy="447675"/>
        </a:xfrm>
        <a:prstGeom prst="rect">
          <a:avLst/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Inicio de producción</a:t>
          </a:r>
        </a:p>
      </xdr:txBody>
    </xdr:sp>
    <xdr:clientData/>
  </xdr:twoCellAnchor>
  <xdr:twoCellAnchor>
    <xdr:from>
      <xdr:col>1</xdr:col>
      <xdr:colOff>171450</xdr:colOff>
      <xdr:row>46</xdr:row>
      <xdr:rowOff>123825</xdr:rowOff>
    </xdr:from>
    <xdr:to>
      <xdr:col>4</xdr:col>
      <xdr:colOff>790575</xdr:colOff>
      <xdr:row>47</xdr:row>
      <xdr:rowOff>161925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933450" y="9382125"/>
          <a:ext cx="5286375" cy="228600"/>
        </a:xfrm>
        <a:prstGeom prst="rect">
          <a:avLst/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Financiación</a:t>
          </a:r>
          <a:r>
            <a:rPr lang="es-CO" sz="1100" baseline="0">
              <a:solidFill>
                <a:sysClr val="windowText" lastClr="000000"/>
              </a:solidFill>
            </a:rPr>
            <a:t> con el proveedor</a:t>
          </a:r>
          <a:endParaRPr lang="es-CO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304800</xdr:colOff>
      <xdr:row>41</xdr:row>
      <xdr:rowOff>28574</xdr:rowOff>
    </xdr:from>
    <xdr:to>
      <xdr:col>5</xdr:col>
      <xdr:colOff>371475</xdr:colOff>
      <xdr:row>42</xdr:row>
      <xdr:rowOff>152399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5734050" y="8334374"/>
          <a:ext cx="942975" cy="314325"/>
        </a:xfrm>
        <a:prstGeom prst="rect">
          <a:avLst/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Fin del ciclo</a:t>
          </a:r>
        </a:p>
      </xdr:txBody>
    </xdr:sp>
    <xdr:clientData/>
  </xdr:twoCellAnchor>
  <xdr:twoCellAnchor>
    <xdr:from>
      <xdr:col>1</xdr:col>
      <xdr:colOff>180975</xdr:colOff>
      <xdr:row>44</xdr:row>
      <xdr:rowOff>19051</xdr:rowOff>
    </xdr:from>
    <xdr:to>
      <xdr:col>1</xdr:col>
      <xdr:colOff>1123950</xdr:colOff>
      <xdr:row>46</xdr:row>
      <xdr:rowOff>57151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942975" y="8896351"/>
          <a:ext cx="942975" cy="4191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>
              <a:solidFill>
                <a:sysClr val="windowText" lastClr="000000"/>
              </a:solidFill>
            </a:rPr>
            <a:t>Proceso</a:t>
          </a:r>
          <a:r>
            <a:rPr lang="es-CO" sz="1000" baseline="0">
              <a:solidFill>
                <a:sysClr val="windowText" lastClr="000000"/>
              </a:solidFill>
            </a:rPr>
            <a:t> propio</a:t>
          </a:r>
          <a:endParaRPr lang="es-CO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685800</xdr:colOff>
      <xdr:row>34</xdr:row>
      <xdr:rowOff>180976</xdr:rowOff>
    </xdr:from>
    <xdr:to>
      <xdr:col>1</xdr:col>
      <xdr:colOff>1628775</xdr:colOff>
      <xdr:row>37</xdr:row>
      <xdr:rowOff>28576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/>
      </xdr:nvSpPr>
      <xdr:spPr>
        <a:xfrm>
          <a:off x="1447800" y="7153276"/>
          <a:ext cx="942975" cy="4191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>
              <a:solidFill>
                <a:sysClr val="windowText" lastClr="000000"/>
              </a:solidFill>
            </a:rPr>
            <a:t>Vende la empresa</a:t>
          </a:r>
        </a:p>
      </xdr:txBody>
    </xdr:sp>
    <xdr:clientData/>
  </xdr:twoCellAnchor>
  <xdr:twoCellAnchor>
    <xdr:from>
      <xdr:col>1</xdr:col>
      <xdr:colOff>2647950</xdr:colOff>
      <xdr:row>34</xdr:row>
      <xdr:rowOff>152401</xdr:rowOff>
    </xdr:from>
    <xdr:to>
      <xdr:col>2</xdr:col>
      <xdr:colOff>676275</xdr:colOff>
      <xdr:row>37</xdr:row>
      <xdr:rowOff>1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/>
      </xdr:nvSpPr>
      <xdr:spPr>
        <a:xfrm>
          <a:off x="3409950" y="7124701"/>
          <a:ext cx="942975" cy="4191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>
              <a:solidFill>
                <a:sysClr val="windowText" lastClr="000000"/>
              </a:solidFill>
            </a:rPr>
            <a:t>Cobra a su cliente</a:t>
          </a:r>
        </a:p>
      </xdr:txBody>
    </xdr:sp>
    <xdr:clientData/>
  </xdr:twoCellAnchor>
  <xdr:twoCellAnchor>
    <xdr:from>
      <xdr:col>4</xdr:col>
      <xdr:colOff>866775</xdr:colOff>
      <xdr:row>34</xdr:row>
      <xdr:rowOff>76200</xdr:rowOff>
    </xdr:from>
    <xdr:to>
      <xdr:col>6</xdr:col>
      <xdr:colOff>523875</xdr:colOff>
      <xdr:row>36</xdr:row>
      <xdr:rowOff>28576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/>
      </xdr:nvSpPr>
      <xdr:spPr>
        <a:xfrm>
          <a:off x="6296025" y="7048500"/>
          <a:ext cx="1409700" cy="33337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>
              <a:solidFill>
                <a:sysClr val="windowText" lastClr="000000"/>
              </a:solidFill>
            </a:rPr>
            <a:t>Paga a sus proveedores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3905250</xdr:colOff>
      <xdr:row>10</xdr:row>
      <xdr:rowOff>63103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53BE4B7-440E-49F1-9866-971D50F59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3905250" cy="21967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38100</xdr:rowOff>
    </xdr:from>
    <xdr:to>
      <xdr:col>7</xdr:col>
      <xdr:colOff>28575</xdr:colOff>
      <xdr:row>9</xdr:row>
      <xdr:rowOff>47625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1950" y="1133475"/>
          <a:ext cx="8210550" cy="962025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2000" b="1"/>
            <a:t>ROA  = Utilidad Neta</a:t>
          </a:r>
          <a:r>
            <a:rPr lang="es-ES" sz="2000" b="1" baseline="0"/>
            <a:t> / Activos Totales</a:t>
          </a:r>
          <a:endParaRPr lang="es-ES" sz="2000" b="1"/>
        </a:p>
      </xdr:txBody>
    </xdr:sp>
    <xdr:clientData/>
  </xdr:twoCellAnchor>
  <xdr:twoCellAnchor>
    <xdr:from>
      <xdr:col>1</xdr:col>
      <xdr:colOff>0</xdr:colOff>
      <xdr:row>20</xdr:row>
      <xdr:rowOff>85725</xdr:rowOff>
    </xdr:from>
    <xdr:to>
      <xdr:col>7</xdr:col>
      <xdr:colOff>76200</xdr:colOff>
      <xdr:row>24</xdr:row>
      <xdr:rowOff>9525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267200" y="4924425"/>
          <a:ext cx="9934575" cy="876300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2000" b="1"/>
            <a:t>RAN  = UODI</a:t>
          </a:r>
          <a:r>
            <a:rPr lang="es-ES" sz="2000" b="1" baseline="0"/>
            <a:t> / Activos Netos de Operación</a:t>
          </a:r>
          <a:endParaRPr lang="es-ES" sz="2000" b="1"/>
        </a:p>
      </xdr:txBody>
    </xdr:sp>
    <xdr:clientData/>
  </xdr:twoCellAnchor>
  <xdr:twoCellAnchor>
    <xdr:from>
      <xdr:col>0</xdr:col>
      <xdr:colOff>4162425</xdr:colOff>
      <xdr:row>41</xdr:row>
      <xdr:rowOff>82550</xdr:rowOff>
    </xdr:from>
    <xdr:to>
      <xdr:col>8</xdr:col>
      <xdr:colOff>133351</xdr:colOff>
      <xdr:row>45</xdr:row>
      <xdr:rowOff>228600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162425" y="10636250"/>
          <a:ext cx="11153776" cy="1098550"/>
        </a:xfrm>
        <a:prstGeom prst="roundRect">
          <a:avLst/>
        </a:prstGeom>
        <a:solidFill>
          <a:srgbClr val="C00000"/>
        </a:solidFill>
        <a:ln>
          <a:noFill/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ES" sz="2000" b="1">
              <a:solidFill>
                <a:schemeClr val="bg1"/>
              </a:solidFill>
            </a:rPr>
            <a:t>Activos</a:t>
          </a:r>
          <a:r>
            <a:rPr lang="es-ES" sz="2000" b="1" baseline="0">
              <a:solidFill>
                <a:schemeClr val="bg1"/>
              </a:solidFill>
            </a:rPr>
            <a:t> Netos de Operación</a:t>
          </a:r>
          <a:r>
            <a:rPr lang="es-ES" sz="2000" b="1">
              <a:solidFill>
                <a:schemeClr val="bg1"/>
              </a:solidFill>
            </a:rPr>
            <a:t>  </a:t>
          </a:r>
          <a:r>
            <a:rPr lang="es-ES" sz="2000" b="1"/>
            <a:t>= Activos Corrientes  - Cuentas por pagar proveedores + activos fijos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3905250</xdr:colOff>
      <xdr:row>9</xdr:row>
      <xdr:rowOff>148828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A8C3355-2BF8-4E11-8B43-18144B691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5250" cy="2196703"/>
        </a:xfrm>
        <a:prstGeom prst="rect">
          <a:avLst/>
        </a:prstGeom>
      </xdr:spPr>
    </xdr:pic>
    <xdr:clientData/>
  </xdr:twoCellAnchor>
  <xdr:twoCellAnchor>
    <xdr:from>
      <xdr:col>8</xdr:col>
      <xdr:colOff>312965</xdr:colOff>
      <xdr:row>9</xdr:row>
      <xdr:rowOff>68035</xdr:rowOff>
    </xdr:from>
    <xdr:to>
      <xdr:col>13</xdr:col>
      <xdr:colOff>721179</xdr:colOff>
      <xdr:row>17</xdr:row>
      <xdr:rowOff>136072</xdr:rowOff>
    </xdr:to>
    <xdr:sp macro="" textlink="">
      <xdr:nvSpPr>
        <xdr:cNvPr id="6" name="CuadroTexto 5"/>
        <xdr:cNvSpPr txBox="1"/>
      </xdr:nvSpPr>
      <xdr:spPr>
        <a:xfrm>
          <a:off x="15498536" y="2136321"/>
          <a:ext cx="4218214" cy="21363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Interpretación: </a:t>
          </a:r>
        </a:p>
        <a:p>
          <a:r>
            <a:rPr lang="es-CO" sz="1100"/>
            <a:t>1. Lapso</a:t>
          </a:r>
          <a:r>
            <a:rPr lang="es-CO" sz="1100" baseline="0"/>
            <a:t> de estudio entre 2015 hasta el 2019</a:t>
          </a:r>
        </a:p>
        <a:p>
          <a:r>
            <a:rPr lang="es-CO" sz="1100" baseline="0"/>
            <a:t>2. ROA, presentó un movimiento inicianod en 3.64% teniendo un maximo alcanzado de 10,26% para el año 2018 con un minimo de 2,58% para el año 2016</a:t>
          </a:r>
        </a:p>
        <a:p>
          <a:r>
            <a:rPr lang="es-CO" sz="1100" baseline="0"/>
            <a:t>Cerrando en 6.61% en el año 2019, arrojando un promedio de 5.84% de rentabilidad sobre los activos totales segun el referente de tasas la empresa supera la tasa de rentabilidad de la DTF que se encuentra en 4.5% para el año 2019, esto debido a </a:t>
          </a:r>
        </a:p>
        <a:p>
          <a:r>
            <a:rPr lang="es-CO" sz="1100" baseline="0"/>
            <a:t>(Causas): Las variaciones en las cuentas.. en el efectivo al año 2018 de 2407 millones incrementando su valor en el año 2019</a:t>
          </a:r>
        </a:p>
        <a:p>
          <a:endParaRPr lang="es-CO" sz="1100" baseline="0"/>
        </a:p>
        <a:p>
          <a:endParaRPr lang="es-CO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11</xdr:row>
      <xdr:rowOff>101203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90894D-74B4-4D14-BFC6-A3624FE91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5250" cy="2196703"/>
        </a:xfrm>
        <a:prstGeom prst="rect">
          <a:avLst/>
        </a:prstGeom>
      </xdr:spPr>
    </xdr:pic>
    <xdr:clientData/>
  </xdr:twoCellAnchor>
  <xdr:twoCellAnchor>
    <xdr:from>
      <xdr:col>5</xdr:col>
      <xdr:colOff>381001</xdr:colOff>
      <xdr:row>9</xdr:row>
      <xdr:rowOff>38100</xdr:rowOff>
    </xdr:from>
    <xdr:to>
      <xdr:col>8</xdr:col>
      <xdr:colOff>85725</xdr:colOff>
      <xdr:row>11</xdr:row>
      <xdr:rowOff>104775</xdr:rowOff>
    </xdr:to>
    <xdr:sp macro="" textlink="'Estados Financieros'!C58">
      <xdr:nvSpPr>
        <xdr:cNvPr id="3" name="Rectángulo: una sola esquina cortada 2">
          <a:extLst>
            <a:ext uri="{FF2B5EF4-FFF2-40B4-BE49-F238E27FC236}">
              <a16:creationId xmlns:a16="http://schemas.microsoft.com/office/drawing/2014/main" id="{7984F988-A68D-4066-9235-0B5D81051AD6}"/>
            </a:ext>
          </a:extLst>
        </xdr:cNvPr>
        <xdr:cNvSpPr/>
      </xdr:nvSpPr>
      <xdr:spPr>
        <a:xfrm>
          <a:off x="4191001" y="1752600"/>
          <a:ext cx="1990724" cy="447675"/>
        </a:xfrm>
        <a:prstGeom prst="snip1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fld id="{33188B83-343C-4DA8-81DE-C3D5B5193024}" type="TxLink">
            <a:rPr lang="en-US" sz="14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 38,715,485 </a:t>
          </a:fld>
          <a:endParaRPr lang="en-US" sz="1400" b="1"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5</xdr:col>
      <xdr:colOff>371475</xdr:colOff>
      <xdr:row>5</xdr:row>
      <xdr:rowOff>114300</xdr:rowOff>
    </xdr:from>
    <xdr:to>
      <xdr:col>8</xdr:col>
      <xdr:colOff>95250</xdr:colOff>
      <xdr:row>8</xdr:row>
      <xdr:rowOff>47626</xdr:rowOff>
    </xdr:to>
    <xdr:sp macro="" textlink="'Estados Financieros'!C9">
      <xdr:nvSpPr>
        <xdr:cNvPr id="4" name="Rectángulo: esquinas redondeadas 3">
          <a:extLst>
            <a:ext uri="{FF2B5EF4-FFF2-40B4-BE49-F238E27FC236}">
              <a16:creationId xmlns:a16="http://schemas.microsoft.com/office/drawing/2014/main" id="{9A3D0E0F-0931-45E3-B434-0D28FA632692}"/>
            </a:ext>
          </a:extLst>
        </xdr:cNvPr>
        <xdr:cNvSpPr/>
      </xdr:nvSpPr>
      <xdr:spPr>
        <a:xfrm>
          <a:off x="4181475" y="1066800"/>
          <a:ext cx="2009775" cy="504826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E74EB19E-E374-45C5-A4A0-002CE6EDD775}" type="TxLink">
            <a:rPr lang="en-US" sz="1500" b="1" i="0" u="sng" strike="noStrike">
              <a:solidFill>
                <a:schemeClr val="bg1"/>
              </a:solidFill>
              <a:latin typeface="Times New Roman"/>
              <a:ea typeface="+mn-ea"/>
              <a:cs typeface="Times New Roman"/>
            </a:rPr>
            <a:pPr marL="0" indent="0" algn="ctr"/>
            <a:t>2015</a:t>
          </a:fld>
          <a:endParaRPr lang="en-US" sz="1500" b="1" i="0" u="sng" strike="noStrike">
            <a:solidFill>
              <a:schemeClr val="bg1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8</xdr:col>
      <xdr:colOff>409576</xdr:colOff>
      <xdr:row>9</xdr:row>
      <xdr:rowOff>57150</xdr:rowOff>
    </xdr:from>
    <xdr:to>
      <xdr:col>11</xdr:col>
      <xdr:colOff>114300</xdr:colOff>
      <xdr:row>11</xdr:row>
      <xdr:rowOff>123825</xdr:rowOff>
    </xdr:to>
    <xdr:sp macro="" textlink="'Estados Financieros'!D58">
      <xdr:nvSpPr>
        <xdr:cNvPr id="5" name="Rectángulo: una sola esquina cortada 4">
          <a:extLst>
            <a:ext uri="{FF2B5EF4-FFF2-40B4-BE49-F238E27FC236}">
              <a16:creationId xmlns:a16="http://schemas.microsoft.com/office/drawing/2014/main" id="{A854E2BB-CECF-4E2D-B5DB-B98EC310AD4D}"/>
            </a:ext>
          </a:extLst>
        </xdr:cNvPr>
        <xdr:cNvSpPr/>
      </xdr:nvSpPr>
      <xdr:spPr>
        <a:xfrm>
          <a:off x="6505576" y="1771650"/>
          <a:ext cx="1990724" cy="447675"/>
        </a:xfrm>
        <a:prstGeom prst="snip1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/>
          <a:fld id="{A815C716-363D-478D-ACDF-A25123172FD6}" type="TxLink">
            <a:rPr lang="en-US" sz="1400" b="0" i="0" u="none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pPr marL="0" indent="0" algn="ctr"/>
            <a:t> 28,632,157 </a:t>
          </a:fld>
          <a:endParaRPr lang="en-US" sz="1400" b="0" i="0" u="none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8</xdr:col>
      <xdr:colOff>400050</xdr:colOff>
      <xdr:row>5</xdr:row>
      <xdr:rowOff>133350</xdr:rowOff>
    </xdr:from>
    <xdr:to>
      <xdr:col>11</xdr:col>
      <xdr:colOff>123825</xdr:colOff>
      <xdr:row>8</xdr:row>
      <xdr:rowOff>66676</xdr:rowOff>
    </xdr:to>
    <xdr:sp macro="" textlink="'Estados Financieros'!D9">
      <xdr:nvSpPr>
        <xdr:cNvPr id="6" name="Rectángulo: esquinas redondeadas 5">
          <a:extLst>
            <a:ext uri="{FF2B5EF4-FFF2-40B4-BE49-F238E27FC236}">
              <a16:creationId xmlns:a16="http://schemas.microsoft.com/office/drawing/2014/main" id="{E7C10743-CBC4-4023-8B32-D69A0A61F8FC}"/>
            </a:ext>
          </a:extLst>
        </xdr:cNvPr>
        <xdr:cNvSpPr/>
      </xdr:nvSpPr>
      <xdr:spPr>
        <a:xfrm>
          <a:off x="6496050" y="1085850"/>
          <a:ext cx="2009775" cy="504826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3D60EB70-E3F7-4687-9DBF-98F31010346E}" type="TxLink">
            <a:rPr lang="en-US" sz="1500" b="1" i="0" u="sng" strike="noStrike">
              <a:solidFill>
                <a:schemeClr val="bg1"/>
              </a:solidFill>
              <a:latin typeface="Times New Roman"/>
              <a:ea typeface="+mn-ea"/>
              <a:cs typeface="Times New Roman"/>
            </a:rPr>
            <a:pPr marL="0" indent="0" algn="ctr"/>
            <a:t>2016</a:t>
          </a:fld>
          <a:endParaRPr lang="en-US" sz="1500" b="1" i="0" u="sng" strike="noStrike">
            <a:solidFill>
              <a:schemeClr val="bg1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11</xdr:col>
      <xdr:colOff>381001</xdr:colOff>
      <xdr:row>9</xdr:row>
      <xdr:rowOff>57150</xdr:rowOff>
    </xdr:from>
    <xdr:to>
      <xdr:col>14</xdr:col>
      <xdr:colOff>85725</xdr:colOff>
      <xdr:row>11</xdr:row>
      <xdr:rowOff>123825</xdr:rowOff>
    </xdr:to>
    <xdr:sp macro="" textlink="'Estados Financieros'!E58">
      <xdr:nvSpPr>
        <xdr:cNvPr id="7" name="Rectángulo: una sola esquina cortada 6">
          <a:extLst>
            <a:ext uri="{FF2B5EF4-FFF2-40B4-BE49-F238E27FC236}">
              <a16:creationId xmlns:a16="http://schemas.microsoft.com/office/drawing/2014/main" id="{98FA59C1-F1D3-419A-96E8-F12DBBEEFD12}"/>
            </a:ext>
          </a:extLst>
        </xdr:cNvPr>
        <xdr:cNvSpPr/>
      </xdr:nvSpPr>
      <xdr:spPr>
        <a:xfrm>
          <a:off x="8763001" y="1771650"/>
          <a:ext cx="1990724" cy="447675"/>
        </a:xfrm>
        <a:prstGeom prst="snip1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/>
          <a:fld id="{AEBFFCA1-BC3D-4605-9CF6-BF85CB8DC385}" type="TxLink">
            <a:rPr lang="en-US" sz="1400" b="0" i="0" u="none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pPr marL="0" indent="0" algn="ctr"/>
            <a:t> 35,125,738 </a:t>
          </a:fld>
          <a:endParaRPr lang="en-US" sz="1400" b="0" i="0" u="none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11</xdr:col>
      <xdr:colOff>371475</xdr:colOff>
      <xdr:row>5</xdr:row>
      <xdr:rowOff>133350</xdr:rowOff>
    </xdr:from>
    <xdr:to>
      <xdr:col>14</xdr:col>
      <xdr:colOff>95250</xdr:colOff>
      <xdr:row>8</xdr:row>
      <xdr:rowOff>66676</xdr:rowOff>
    </xdr:to>
    <xdr:sp macro="" textlink="'Estados Financieros'!E9">
      <xdr:nvSpPr>
        <xdr:cNvPr id="8" name="Rectángulo: esquinas redondeadas 7">
          <a:extLst>
            <a:ext uri="{FF2B5EF4-FFF2-40B4-BE49-F238E27FC236}">
              <a16:creationId xmlns:a16="http://schemas.microsoft.com/office/drawing/2014/main" id="{AB3CAD65-EFEC-476B-831F-DD53F8D02322}"/>
            </a:ext>
          </a:extLst>
        </xdr:cNvPr>
        <xdr:cNvSpPr/>
      </xdr:nvSpPr>
      <xdr:spPr>
        <a:xfrm>
          <a:off x="8753475" y="1085850"/>
          <a:ext cx="2009775" cy="504826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D42A0B05-0434-4C59-954E-4DFAD1C972C1}" type="TxLink">
            <a:rPr lang="en-US" sz="1500" b="1" i="0" u="sng" strike="noStrike">
              <a:solidFill>
                <a:schemeClr val="bg1"/>
              </a:solidFill>
              <a:latin typeface="Times New Roman"/>
              <a:ea typeface="+mn-ea"/>
              <a:cs typeface="Times New Roman"/>
            </a:rPr>
            <a:pPr marL="0" indent="0" algn="ctr"/>
            <a:t>2017</a:t>
          </a:fld>
          <a:endParaRPr lang="en-US" sz="1500" b="1" i="0" u="sng" strike="noStrike">
            <a:solidFill>
              <a:schemeClr val="bg1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14</xdr:col>
      <xdr:colOff>333376</xdr:colOff>
      <xdr:row>9</xdr:row>
      <xdr:rowOff>47625</xdr:rowOff>
    </xdr:from>
    <xdr:to>
      <xdr:col>17</xdr:col>
      <xdr:colOff>38100</xdr:colOff>
      <xdr:row>11</xdr:row>
      <xdr:rowOff>114300</xdr:rowOff>
    </xdr:to>
    <xdr:sp macro="" textlink="'Estados Financieros'!F58">
      <xdr:nvSpPr>
        <xdr:cNvPr id="9" name="Rectángulo: una sola esquina cortada 8">
          <a:extLst>
            <a:ext uri="{FF2B5EF4-FFF2-40B4-BE49-F238E27FC236}">
              <a16:creationId xmlns:a16="http://schemas.microsoft.com/office/drawing/2014/main" id="{4FBECFF5-ECAD-4303-B895-8D10D8C43C47}"/>
            </a:ext>
          </a:extLst>
        </xdr:cNvPr>
        <xdr:cNvSpPr/>
      </xdr:nvSpPr>
      <xdr:spPr>
        <a:xfrm>
          <a:off x="11001376" y="1762125"/>
          <a:ext cx="1990724" cy="447675"/>
        </a:xfrm>
        <a:prstGeom prst="snip1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/>
          <a:fld id="{F022C702-D739-4790-9DEF-4C6D7314D793}" type="TxLink">
            <a:rPr lang="en-US" sz="1400" b="0" i="0" u="none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pPr marL="0" indent="0" algn="ctr"/>
            <a:t> 41,528,969 </a:t>
          </a:fld>
          <a:endParaRPr lang="en-US" sz="1400" b="0" i="0" u="none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14</xdr:col>
      <xdr:colOff>323850</xdr:colOff>
      <xdr:row>5</xdr:row>
      <xdr:rowOff>123825</xdr:rowOff>
    </xdr:from>
    <xdr:to>
      <xdr:col>17</xdr:col>
      <xdr:colOff>47625</xdr:colOff>
      <xdr:row>8</xdr:row>
      <xdr:rowOff>57151</xdr:rowOff>
    </xdr:to>
    <xdr:sp macro="" textlink="'Estados Financieros'!F9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316A4BBA-02C8-4BF8-ADAA-BF69E15098CB}"/>
            </a:ext>
          </a:extLst>
        </xdr:cNvPr>
        <xdr:cNvSpPr/>
      </xdr:nvSpPr>
      <xdr:spPr>
        <a:xfrm>
          <a:off x="10991850" y="1076325"/>
          <a:ext cx="2009775" cy="504826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B46CF50A-5A0A-4919-8F18-C07F92ED70CC}" type="TxLink">
            <a:rPr lang="en-US" sz="1500" b="1" i="0" u="sng" strike="noStrike">
              <a:solidFill>
                <a:schemeClr val="bg1"/>
              </a:solidFill>
              <a:latin typeface="Times New Roman"/>
              <a:ea typeface="+mn-ea"/>
              <a:cs typeface="Times New Roman"/>
            </a:rPr>
            <a:pPr marL="0" indent="0" algn="ctr"/>
            <a:t>2018</a:t>
          </a:fld>
          <a:endParaRPr lang="en-US" sz="1500" b="1" i="0" u="sng" strike="noStrike">
            <a:solidFill>
              <a:schemeClr val="bg1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17</xdr:col>
      <xdr:colOff>257176</xdr:colOff>
      <xdr:row>9</xdr:row>
      <xdr:rowOff>47625</xdr:rowOff>
    </xdr:from>
    <xdr:to>
      <xdr:col>19</xdr:col>
      <xdr:colOff>723900</xdr:colOff>
      <xdr:row>11</xdr:row>
      <xdr:rowOff>114300</xdr:rowOff>
    </xdr:to>
    <xdr:sp macro="" textlink="'Estados Financieros'!G58">
      <xdr:nvSpPr>
        <xdr:cNvPr id="11" name="Rectángulo: una sola esquina cortada 10">
          <a:extLst>
            <a:ext uri="{FF2B5EF4-FFF2-40B4-BE49-F238E27FC236}">
              <a16:creationId xmlns:a16="http://schemas.microsoft.com/office/drawing/2014/main" id="{2260F2EF-B99B-4DEB-A53C-334D3EC56E3F}"/>
            </a:ext>
          </a:extLst>
        </xdr:cNvPr>
        <xdr:cNvSpPr/>
      </xdr:nvSpPr>
      <xdr:spPr>
        <a:xfrm>
          <a:off x="13211176" y="1762125"/>
          <a:ext cx="1990724" cy="447675"/>
        </a:xfrm>
        <a:prstGeom prst="snip1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/>
          <a:fld id="{D998BF13-B87F-409F-B0CB-6287364B82B0}" type="TxLink">
            <a:rPr lang="en-US" sz="1400" b="0" i="0" u="none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pPr marL="0" indent="0" algn="ctr"/>
            <a:t> 47,339,770 </a:t>
          </a:fld>
          <a:endParaRPr lang="en-US" sz="1400" b="0" i="0" u="none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17</xdr:col>
      <xdr:colOff>247650</xdr:colOff>
      <xdr:row>5</xdr:row>
      <xdr:rowOff>123825</xdr:rowOff>
    </xdr:from>
    <xdr:to>
      <xdr:col>19</xdr:col>
      <xdr:colOff>733425</xdr:colOff>
      <xdr:row>8</xdr:row>
      <xdr:rowOff>57151</xdr:rowOff>
    </xdr:to>
    <xdr:sp macro="" textlink="'Estados Financieros'!G9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0D111958-8934-446A-91AA-9C6342C17164}"/>
            </a:ext>
          </a:extLst>
        </xdr:cNvPr>
        <xdr:cNvSpPr/>
      </xdr:nvSpPr>
      <xdr:spPr>
        <a:xfrm>
          <a:off x="13201650" y="1076325"/>
          <a:ext cx="2009775" cy="504826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4B52BAAE-46D8-4B62-87F5-8E42A1729308}" type="TxLink">
            <a:rPr lang="en-US" sz="1500" b="1" i="0" u="sng" strike="noStrike">
              <a:solidFill>
                <a:schemeClr val="bg1"/>
              </a:solidFill>
              <a:latin typeface="Times New Roman"/>
              <a:ea typeface="+mn-ea"/>
              <a:cs typeface="Times New Roman"/>
            </a:rPr>
            <a:pPr marL="0" indent="0" algn="ctr"/>
            <a:t>2019</a:t>
          </a:fld>
          <a:endParaRPr lang="en-US" sz="1500" b="1" i="0" u="sng" strike="noStrike">
            <a:solidFill>
              <a:schemeClr val="bg1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5</xdr:col>
      <xdr:colOff>400049</xdr:colOff>
      <xdr:row>0</xdr:row>
      <xdr:rowOff>38101</xdr:rowOff>
    </xdr:from>
    <xdr:to>
      <xdr:col>19</xdr:col>
      <xdr:colOff>714374</xdr:colOff>
      <xdr:row>2</xdr:row>
      <xdr:rowOff>133351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9571202B-6823-4DA9-8BA9-AB86EF2B5345}"/>
            </a:ext>
          </a:extLst>
        </xdr:cNvPr>
        <xdr:cNvSpPr/>
      </xdr:nvSpPr>
      <xdr:spPr>
        <a:xfrm>
          <a:off x="4210049" y="38101"/>
          <a:ext cx="10982325" cy="47625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>
              <a:solidFill>
                <a:schemeClr val="tx1"/>
              </a:solidFill>
            </a:rPr>
            <a:t>+</a:t>
          </a:r>
        </a:p>
      </xdr:txBody>
    </xdr:sp>
    <xdr:clientData/>
  </xdr:twoCellAnchor>
  <xdr:twoCellAnchor>
    <xdr:from>
      <xdr:col>5</xdr:col>
      <xdr:colOff>390524</xdr:colOff>
      <xdr:row>3</xdr:row>
      <xdr:rowOff>9526</xdr:rowOff>
    </xdr:from>
    <xdr:to>
      <xdr:col>19</xdr:col>
      <xdr:colOff>704849</xdr:colOff>
      <xdr:row>4</xdr:row>
      <xdr:rowOff>180975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CCACF34A-C315-4189-ACB6-748D56F1822D}"/>
            </a:ext>
          </a:extLst>
        </xdr:cNvPr>
        <xdr:cNvSpPr/>
      </xdr:nvSpPr>
      <xdr:spPr>
        <a:xfrm>
          <a:off x="4200524" y="581026"/>
          <a:ext cx="10982325" cy="361949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0" u="none" strike="noStrike">
              <a:solidFill>
                <a:schemeClr val="tx1"/>
              </a:solidFill>
              <a:latin typeface="Agency FB"/>
            </a:rPr>
            <a:t>Ventas</a:t>
          </a:r>
        </a:p>
      </xdr:txBody>
    </xdr:sp>
    <xdr:clientData/>
  </xdr:twoCellAnchor>
  <xdr:twoCellAnchor>
    <xdr:from>
      <xdr:col>0</xdr:col>
      <xdr:colOff>161925</xdr:colOff>
      <xdr:row>18</xdr:row>
      <xdr:rowOff>180976</xdr:rowOff>
    </xdr:from>
    <xdr:to>
      <xdr:col>5</xdr:col>
      <xdr:colOff>238125</xdr:colOff>
      <xdr:row>22</xdr:row>
      <xdr:rowOff>9526</xdr:rowOff>
    </xdr:to>
    <xdr:sp macro="" textlink="">
      <xdr:nvSpPr>
        <xdr:cNvPr id="31" name="Rectángulo: esquinas diagonales cortadas 30">
          <a:extLst>
            <a:ext uri="{FF2B5EF4-FFF2-40B4-BE49-F238E27FC236}">
              <a16:creationId xmlns:a16="http://schemas.microsoft.com/office/drawing/2014/main" id="{D82C1B16-5119-4294-A2C8-C9044C0E3E04}"/>
            </a:ext>
          </a:extLst>
        </xdr:cNvPr>
        <xdr:cNvSpPr/>
      </xdr:nvSpPr>
      <xdr:spPr>
        <a:xfrm>
          <a:off x="161925" y="3609976"/>
          <a:ext cx="3886200" cy="590550"/>
        </a:xfrm>
        <a:prstGeom prst="snip2Diag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2800" b="1">
              <a:latin typeface="Franklin Gothic Book" panose="020B0503020102020204" pitchFamily="34" charset="0"/>
            </a:rPr>
            <a:t>Rentabilidad</a:t>
          </a:r>
        </a:p>
      </xdr:txBody>
    </xdr:sp>
    <xdr:clientData/>
  </xdr:twoCellAnchor>
  <xdr:twoCellAnchor>
    <xdr:from>
      <xdr:col>0</xdr:col>
      <xdr:colOff>257175</xdr:colOff>
      <xdr:row>35</xdr:row>
      <xdr:rowOff>28575</xdr:rowOff>
    </xdr:from>
    <xdr:to>
      <xdr:col>5</xdr:col>
      <xdr:colOff>333375</xdr:colOff>
      <xdr:row>38</xdr:row>
      <xdr:rowOff>66675</xdr:rowOff>
    </xdr:to>
    <xdr:sp macro="" textlink="">
      <xdr:nvSpPr>
        <xdr:cNvPr id="32" name="Rectángulo: esquinas diagonales cortadas 31">
          <a:extLst>
            <a:ext uri="{FF2B5EF4-FFF2-40B4-BE49-F238E27FC236}">
              <a16:creationId xmlns:a16="http://schemas.microsoft.com/office/drawing/2014/main" id="{3DCA9D24-D58D-4E05-809C-C924255E13B0}"/>
            </a:ext>
          </a:extLst>
        </xdr:cNvPr>
        <xdr:cNvSpPr/>
      </xdr:nvSpPr>
      <xdr:spPr>
        <a:xfrm>
          <a:off x="257175" y="6705600"/>
          <a:ext cx="3886200" cy="619125"/>
        </a:xfrm>
        <a:prstGeom prst="snip2Diag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2800" b="1">
              <a:latin typeface="Franklin Gothic Book" panose="020B0503020102020204" pitchFamily="34" charset="0"/>
            </a:rPr>
            <a:t>Utilidad</a:t>
          </a:r>
          <a:r>
            <a:rPr lang="es-CO" sz="2800" b="1" baseline="0">
              <a:latin typeface="Franklin Gothic Book" panose="020B0503020102020204" pitchFamily="34" charset="0"/>
            </a:rPr>
            <a:t> Operacional</a:t>
          </a:r>
          <a:endParaRPr lang="es-CO" sz="2800" b="1"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0</xdr:col>
      <xdr:colOff>133350</xdr:colOff>
      <xdr:row>53</xdr:row>
      <xdr:rowOff>19051</xdr:rowOff>
    </xdr:from>
    <xdr:to>
      <xdr:col>5</xdr:col>
      <xdr:colOff>209550</xdr:colOff>
      <xdr:row>55</xdr:row>
      <xdr:rowOff>152401</xdr:rowOff>
    </xdr:to>
    <xdr:sp macro="" textlink="">
      <xdr:nvSpPr>
        <xdr:cNvPr id="33" name="Rectángulo: esquinas diagonales cortadas 32">
          <a:extLst>
            <a:ext uri="{FF2B5EF4-FFF2-40B4-BE49-F238E27FC236}">
              <a16:creationId xmlns:a16="http://schemas.microsoft.com/office/drawing/2014/main" id="{5C876548-C86B-4EF3-B11E-B3190A18A2C4}"/>
            </a:ext>
          </a:extLst>
        </xdr:cNvPr>
        <xdr:cNvSpPr/>
      </xdr:nvSpPr>
      <xdr:spPr>
        <a:xfrm>
          <a:off x="133350" y="10134601"/>
          <a:ext cx="3886200" cy="514350"/>
        </a:xfrm>
        <a:prstGeom prst="snip2Diag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2800" b="1">
              <a:latin typeface="Franklin Gothic Book" panose="020B0503020102020204" pitchFamily="34" charset="0"/>
            </a:rPr>
            <a:t>EBITDA</a:t>
          </a:r>
        </a:p>
      </xdr:txBody>
    </xdr:sp>
    <xdr:clientData/>
  </xdr:twoCellAnchor>
  <xdr:twoCellAnchor>
    <xdr:from>
      <xdr:col>0</xdr:col>
      <xdr:colOff>142875</xdr:colOff>
      <xdr:row>70</xdr:row>
      <xdr:rowOff>85725</xdr:rowOff>
    </xdr:from>
    <xdr:to>
      <xdr:col>5</xdr:col>
      <xdr:colOff>219075</xdr:colOff>
      <xdr:row>73</xdr:row>
      <xdr:rowOff>28575</xdr:rowOff>
    </xdr:to>
    <xdr:sp macro="" textlink="">
      <xdr:nvSpPr>
        <xdr:cNvPr id="36" name="Rectángulo: esquinas diagonales cortadas 35">
          <a:extLst>
            <a:ext uri="{FF2B5EF4-FFF2-40B4-BE49-F238E27FC236}">
              <a16:creationId xmlns:a16="http://schemas.microsoft.com/office/drawing/2014/main" id="{66085496-ED45-468F-BA31-58691579F93E}"/>
            </a:ext>
          </a:extLst>
        </xdr:cNvPr>
        <xdr:cNvSpPr/>
      </xdr:nvSpPr>
      <xdr:spPr>
        <a:xfrm>
          <a:off x="142875" y="13439775"/>
          <a:ext cx="3886200" cy="514350"/>
        </a:xfrm>
        <a:prstGeom prst="snip2Diag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2800" b="1">
              <a:latin typeface="Franklin Gothic Book" panose="020B0503020102020204" pitchFamily="34" charset="0"/>
            </a:rPr>
            <a:t>KTNO</a:t>
          </a:r>
          <a:r>
            <a:rPr lang="es-CO" sz="2800" b="1" baseline="0">
              <a:latin typeface="Franklin Gothic Book" panose="020B0503020102020204" pitchFamily="34" charset="0"/>
            </a:rPr>
            <a:t> - PKT</a:t>
          </a:r>
          <a:endParaRPr lang="es-CO" sz="2800" b="1"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0</xdr:col>
      <xdr:colOff>133350</xdr:colOff>
      <xdr:row>89</xdr:row>
      <xdr:rowOff>57150</xdr:rowOff>
    </xdr:from>
    <xdr:to>
      <xdr:col>5</xdr:col>
      <xdr:colOff>209550</xdr:colOff>
      <xdr:row>92</xdr:row>
      <xdr:rowOff>0</xdr:rowOff>
    </xdr:to>
    <xdr:sp macro="" textlink="">
      <xdr:nvSpPr>
        <xdr:cNvPr id="41" name="Rectángulo: esquinas diagonales cortadas 40">
          <a:extLst>
            <a:ext uri="{FF2B5EF4-FFF2-40B4-BE49-F238E27FC236}">
              <a16:creationId xmlns:a16="http://schemas.microsoft.com/office/drawing/2014/main" id="{81F75259-A2F6-4E87-A2FC-E4C424D9F149}"/>
            </a:ext>
          </a:extLst>
        </xdr:cNvPr>
        <xdr:cNvSpPr/>
      </xdr:nvSpPr>
      <xdr:spPr>
        <a:xfrm>
          <a:off x="133350" y="17030700"/>
          <a:ext cx="3886200" cy="514350"/>
        </a:xfrm>
        <a:prstGeom prst="snip2Diag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2800" b="1">
              <a:latin typeface="Franklin Gothic Book" panose="020B0503020102020204" pitchFamily="34" charset="0"/>
            </a:rPr>
            <a:t>PAF</a:t>
          </a:r>
        </a:p>
      </xdr:txBody>
    </xdr:sp>
    <xdr:clientData/>
  </xdr:twoCellAnchor>
  <xdr:twoCellAnchor>
    <xdr:from>
      <xdr:col>0</xdr:col>
      <xdr:colOff>209550</xdr:colOff>
      <xdr:row>106</xdr:row>
      <xdr:rowOff>152400</xdr:rowOff>
    </xdr:from>
    <xdr:to>
      <xdr:col>5</xdr:col>
      <xdr:colOff>285750</xdr:colOff>
      <xdr:row>109</xdr:row>
      <xdr:rowOff>95250</xdr:rowOff>
    </xdr:to>
    <xdr:sp macro="" textlink="">
      <xdr:nvSpPr>
        <xdr:cNvPr id="44" name="Rectángulo: esquinas diagonales cortadas 43">
          <a:extLst>
            <a:ext uri="{FF2B5EF4-FFF2-40B4-BE49-F238E27FC236}">
              <a16:creationId xmlns:a16="http://schemas.microsoft.com/office/drawing/2014/main" id="{BBB512A8-1623-407B-8B82-FC84C8622645}"/>
            </a:ext>
          </a:extLst>
        </xdr:cNvPr>
        <xdr:cNvSpPr/>
      </xdr:nvSpPr>
      <xdr:spPr>
        <a:xfrm>
          <a:off x="209550" y="20364450"/>
          <a:ext cx="3886200" cy="514350"/>
        </a:xfrm>
        <a:prstGeom prst="snip2Diag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2800" b="1">
              <a:latin typeface="Franklin Gothic Book" panose="020B0503020102020204" pitchFamily="34" charset="0"/>
            </a:rPr>
            <a:t>PDC - Flujo de Caja</a:t>
          </a:r>
        </a:p>
      </xdr:txBody>
    </xdr:sp>
    <xdr:clientData/>
  </xdr:twoCellAnchor>
  <xdr:twoCellAnchor>
    <xdr:from>
      <xdr:col>5</xdr:col>
      <xdr:colOff>500064</xdr:colOff>
      <xdr:row>13</xdr:row>
      <xdr:rowOff>35719</xdr:rowOff>
    </xdr:from>
    <xdr:to>
      <xdr:col>11</xdr:col>
      <xdr:colOff>500064</xdr:colOff>
      <xdr:row>27</xdr:row>
      <xdr:rowOff>111919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750093</xdr:colOff>
      <xdr:row>13</xdr:row>
      <xdr:rowOff>47625</xdr:rowOff>
    </xdr:from>
    <xdr:to>
      <xdr:col>17</xdr:col>
      <xdr:colOff>750093</xdr:colOff>
      <xdr:row>27</xdr:row>
      <xdr:rowOff>123825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535782</xdr:colOff>
      <xdr:row>29</xdr:row>
      <xdr:rowOff>119063</xdr:rowOff>
    </xdr:from>
    <xdr:to>
      <xdr:col>11</xdr:col>
      <xdr:colOff>535782</xdr:colOff>
      <xdr:row>43</xdr:row>
      <xdr:rowOff>171450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714374</xdr:colOff>
      <xdr:row>29</xdr:row>
      <xdr:rowOff>33337</xdr:rowOff>
    </xdr:from>
    <xdr:to>
      <xdr:col>23</xdr:col>
      <xdr:colOff>714374</xdr:colOff>
      <xdr:row>43</xdr:row>
      <xdr:rowOff>61912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428625</xdr:colOff>
      <xdr:row>46</xdr:row>
      <xdr:rowOff>71437</xdr:rowOff>
    </xdr:from>
    <xdr:to>
      <xdr:col>11</xdr:col>
      <xdr:colOff>428625</xdr:colOff>
      <xdr:row>60</xdr:row>
      <xdr:rowOff>147637</xdr:rowOff>
    </xdr:to>
    <xdr:graphicFrame macro="">
      <xdr:nvGraphicFramePr>
        <xdr:cNvPr id="25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95250</xdr:colOff>
      <xdr:row>45</xdr:row>
      <xdr:rowOff>166688</xdr:rowOff>
    </xdr:from>
    <xdr:to>
      <xdr:col>18</xdr:col>
      <xdr:colOff>95250</xdr:colOff>
      <xdr:row>60</xdr:row>
      <xdr:rowOff>52388</xdr:rowOff>
    </xdr:to>
    <xdr:graphicFrame macro="">
      <xdr:nvGraphicFramePr>
        <xdr:cNvPr id="26" name="Grá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428625</xdr:colOff>
      <xdr:row>62</xdr:row>
      <xdr:rowOff>178594</xdr:rowOff>
    </xdr:from>
    <xdr:to>
      <xdr:col>11</xdr:col>
      <xdr:colOff>428625</xdr:colOff>
      <xdr:row>77</xdr:row>
      <xdr:rowOff>64294</xdr:rowOff>
    </xdr:to>
    <xdr:graphicFrame macro="">
      <xdr:nvGraphicFramePr>
        <xdr:cNvPr id="27" name="Grá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23813</xdr:colOff>
      <xdr:row>62</xdr:row>
      <xdr:rowOff>130969</xdr:rowOff>
    </xdr:from>
    <xdr:to>
      <xdr:col>18</xdr:col>
      <xdr:colOff>23813</xdr:colOff>
      <xdr:row>77</xdr:row>
      <xdr:rowOff>16669</xdr:rowOff>
    </xdr:to>
    <xdr:graphicFrame macro="">
      <xdr:nvGraphicFramePr>
        <xdr:cNvPr id="28" name="Gráfico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345281</xdr:colOff>
      <xdr:row>79</xdr:row>
      <xdr:rowOff>35719</xdr:rowOff>
    </xdr:from>
    <xdr:to>
      <xdr:col>11</xdr:col>
      <xdr:colOff>345281</xdr:colOff>
      <xdr:row>93</xdr:row>
      <xdr:rowOff>111919</xdr:rowOff>
    </xdr:to>
    <xdr:graphicFrame macro="">
      <xdr:nvGraphicFramePr>
        <xdr:cNvPr id="29" name="Gráfico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642937</xdr:colOff>
      <xdr:row>79</xdr:row>
      <xdr:rowOff>23812</xdr:rowOff>
    </xdr:from>
    <xdr:to>
      <xdr:col>17</xdr:col>
      <xdr:colOff>642937</xdr:colOff>
      <xdr:row>93</xdr:row>
      <xdr:rowOff>100012</xdr:rowOff>
    </xdr:to>
    <xdr:graphicFrame macro="">
      <xdr:nvGraphicFramePr>
        <xdr:cNvPr id="30" name="Gráfico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369094</xdr:colOff>
      <xdr:row>95</xdr:row>
      <xdr:rowOff>154781</xdr:rowOff>
    </xdr:from>
    <xdr:to>
      <xdr:col>11</xdr:col>
      <xdr:colOff>369094</xdr:colOff>
      <xdr:row>110</xdr:row>
      <xdr:rowOff>40481</xdr:rowOff>
    </xdr:to>
    <xdr:graphicFrame macro="">
      <xdr:nvGraphicFramePr>
        <xdr:cNvPr id="34" name="Gráfico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714375</xdr:colOff>
      <xdr:row>96</xdr:row>
      <xdr:rowOff>107156</xdr:rowOff>
    </xdr:from>
    <xdr:to>
      <xdr:col>17</xdr:col>
      <xdr:colOff>714375</xdr:colOff>
      <xdr:row>110</xdr:row>
      <xdr:rowOff>183356</xdr:rowOff>
    </xdr:to>
    <xdr:graphicFrame macro="">
      <xdr:nvGraphicFramePr>
        <xdr:cNvPr id="35" name="Gráfico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83342</xdr:colOff>
      <xdr:row>112</xdr:row>
      <xdr:rowOff>142875</xdr:rowOff>
    </xdr:from>
    <xdr:to>
      <xdr:col>18</xdr:col>
      <xdr:colOff>166687</xdr:colOff>
      <xdr:row>127</xdr:row>
      <xdr:rowOff>28575</xdr:rowOff>
    </xdr:to>
    <xdr:graphicFrame macro="">
      <xdr:nvGraphicFramePr>
        <xdr:cNvPr id="37" name="Gráfico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309562</xdr:colOff>
      <xdr:row>47</xdr:row>
      <xdr:rowOff>95249</xdr:rowOff>
    </xdr:from>
    <xdr:to>
      <xdr:col>16</xdr:col>
      <xdr:colOff>690562</xdr:colOff>
      <xdr:row>54</xdr:row>
      <xdr:rowOff>71437</xdr:rowOff>
    </xdr:to>
    <xdr:sp macro="" textlink="">
      <xdr:nvSpPr>
        <xdr:cNvPr id="14" name="Elipse 13"/>
        <xdr:cNvSpPr/>
      </xdr:nvSpPr>
      <xdr:spPr>
        <a:xfrm>
          <a:off x="11739562" y="9096374"/>
          <a:ext cx="1143000" cy="1309688"/>
        </a:xfrm>
        <a:prstGeom prst="ellipse">
          <a:avLst/>
        </a:prstGeom>
        <a:solidFill>
          <a:schemeClr val="accent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714376</xdr:colOff>
      <xdr:row>112</xdr:row>
      <xdr:rowOff>154781</xdr:rowOff>
    </xdr:from>
    <xdr:to>
      <xdr:col>11</xdr:col>
      <xdr:colOff>440532</xdr:colOff>
      <xdr:row>127</xdr:row>
      <xdr:rowOff>40481</xdr:rowOff>
    </xdr:to>
    <xdr:graphicFrame macro="">
      <xdr:nvGraphicFramePr>
        <xdr:cNvPr id="39" name="Gráfico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18</xdr:col>
      <xdr:colOff>595312</xdr:colOff>
      <xdr:row>13</xdr:row>
      <xdr:rowOff>107155</xdr:rowOff>
    </xdr:from>
    <xdr:to>
      <xdr:col>24</xdr:col>
      <xdr:colOff>241526</xdr:colOff>
      <xdr:row>23</xdr:row>
      <xdr:rowOff>11906</xdr:rowOff>
    </xdr:to>
    <xdr:sp macro="" textlink="">
      <xdr:nvSpPr>
        <xdr:cNvPr id="38" name="CuadroTexto 37"/>
        <xdr:cNvSpPr txBox="1"/>
      </xdr:nvSpPr>
      <xdr:spPr>
        <a:xfrm>
          <a:off x="14311312" y="2583655"/>
          <a:ext cx="4218214" cy="1809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Interpretación: </a:t>
          </a:r>
        </a:p>
        <a:p>
          <a:r>
            <a:rPr lang="es-CO" sz="1100"/>
            <a:t>El lapso de estudio de estudio de la información</a:t>
          </a:r>
          <a:r>
            <a:rPr lang="es-CO" sz="1100" baseline="0"/>
            <a:t> es del 2017 al 2019 donde el ROA inica en 2.14% alcanzando un máximo de 7.83% en el 2019 , arrojando un  promedio de rentabilidad de 5.34% sobre los activos totales superando el referente de tasas de la DTF e IPC que se encuentraN en 4.5%  Y 3.5% respectivamente en el 2019.</a:t>
          </a:r>
        </a:p>
        <a:p>
          <a:r>
            <a:rPr lang="es-CO" sz="1100" baseline="0"/>
            <a:t>Las variaciones se debe a que en el 2018 y 2019 se presentó un incremento en las cuentas del efectivo y el rubro de propiedad planta y equipo.</a:t>
          </a:r>
        </a:p>
        <a:p>
          <a:endParaRPr lang="es-CO" sz="1100" baseline="0"/>
        </a:p>
        <a:p>
          <a:endParaRPr lang="es-CO" sz="1100" baseline="0"/>
        </a:p>
        <a:p>
          <a:endParaRPr lang="es-CO" sz="1100" baseline="0"/>
        </a:p>
        <a:p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comcontreras_belcorp_biz/Documents/Downloads/Marbelis%20CB/Gesti&#243;n%20basa%20en%20el%20valor/Entregable%20trabajo/UPC%20%20Valoraci&#243;n%20de%20empresas%20-%20Finart%20SAS%20entregab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Historicas"/>
      <sheetName val="Analisis Financiero"/>
      <sheetName val="Valoración Sin Estrategia"/>
      <sheetName val="Estrategias Operativas"/>
      <sheetName val="Estados Finan + Estrategia"/>
      <sheetName val="Valoración + Estrategia"/>
    </sheetNames>
    <sheetDataSet>
      <sheetData sheetId="0">
        <row r="17">
          <cell r="F17">
            <v>3103253</v>
          </cell>
          <cell r="G17">
            <v>1180062</v>
          </cell>
          <cell r="H17">
            <v>807943</v>
          </cell>
          <cell r="I17">
            <v>2687829</v>
          </cell>
          <cell r="J17">
            <v>2554195</v>
          </cell>
        </row>
        <row r="18">
          <cell r="F18">
            <v>123118</v>
          </cell>
          <cell r="G18">
            <v>3001698</v>
          </cell>
          <cell r="H18">
            <v>3464630</v>
          </cell>
          <cell r="I18">
            <v>2966552</v>
          </cell>
          <cell r="J18">
            <v>3605195</v>
          </cell>
        </row>
        <row r="19">
          <cell r="F19">
            <v>14421502</v>
          </cell>
          <cell r="G19">
            <v>5024392</v>
          </cell>
          <cell r="H19">
            <v>4818344</v>
          </cell>
          <cell r="I19">
            <v>7030714</v>
          </cell>
          <cell r="J19">
            <v>7468543</v>
          </cell>
        </row>
        <row r="20">
          <cell r="F20">
            <v>4618740</v>
          </cell>
          <cell r="G20">
            <v>5719287</v>
          </cell>
          <cell r="H20">
            <v>6520213</v>
          </cell>
          <cell r="I20">
            <v>5035879</v>
          </cell>
          <cell r="J20">
            <v>7698465</v>
          </cell>
        </row>
        <row r="21">
          <cell r="F21">
            <v>2022913</v>
          </cell>
          <cell r="G21">
            <v>25801</v>
          </cell>
          <cell r="H21">
            <v>11885</v>
          </cell>
          <cell r="I21">
            <v>10402</v>
          </cell>
          <cell r="J21">
            <v>54294</v>
          </cell>
        </row>
        <row r="26">
          <cell r="F26">
            <v>2026164</v>
          </cell>
          <cell r="G26">
            <v>2015598</v>
          </cell>
          <cell r="H26">
            <v>1674573</v>
          </cell>
          <cell r="I26">
            <v>1860558</v>
          </cell>
          <cell r="J26">
            <v>2257287</v>
          </cell>
        </row>
        <row r="27">
          <cell r="F27">
            <v>15755</v>
          </cell>
          <cell r="G27">
            <v>11055</v>
          </cell>
          <cell r="H27">
            <v>22491</v>
          </cell>
          <cell r="I27">
            <v>30573</v>
          </cell>
          <cell r="J27">
            <v>18414</v>
          </cell>
        </row>
        <row r="28">
          <cell r="F28">
            <v>500430</v>
          </cell>
          <cell r="G28">
            <v>595124</v>
          </cell>
          <cell r="H28">
            <v>868092</v>
          </cell>
          <cell r="I28">
            <v>772009</v>
          </cell>
          <cell r="J28">
            <v>768312</v>
          </cell>
        </row>
        <row r="34">
          <cell r="F34">
            <v>5471054</v>
          </cell>
          <cell r="G34">
            <v>5323898</v>
          </cell>
          <cell r="H34">
            <v>4784801</v>
          </cell>
          <cell r="I34">
            <v>2204331</v>
          </cell>
          <cell r="J34">
            <v>1950000</v>
          </cell>
        </row>
        <row r="35">
          <cell r="F35">
            <v>4150120</v>
          </cell>
          <cell r="G35">
            <v>3690546</v>
          </cell>
          <cell r="H35">
            <v>4623497</v>
          </cell>
          <cell r="I35">
            <v>8431694</v>
          </cell>
          <cell r="J35">
            <v>8777872</v>
          </cell>
        </row>
        <row r="37">
          <cell r="F37">
            <v>454170</v>
          </cell>
          <cell r="G37">
            <v>270940</v>
          </cell>
          <cell r="H37">
            <v>102321</v>
          </cell>
          <cell r="I37">
            <v>100491</v>
          </cell>
          <cell r="J37">
            <v>193963</v>
          </cell>
        </row>
        <row r="38">
          <cell r="J38">
            <v>1286436</v>
          </cell>
        </row>
        <row r="49">
          <cell r="F49">
            <v>1405500</v>
          </cell>
          <cell r="G49">
            <v>1405500</v>
          </cell>
          <cell r="H49">
            <v>1405500</v>
          </cell>
          <cell r="I49">
            <v>1405500</v>
          </cell>
          <cell r="J49">
            <v>1405500</v>
          </cell>
        </row>
        <row r="50">
          <cell r="F50"/>
          <cell r="G50"/>
          <cell r="H50"/>
          <cell r="I50"/>
          <cell r="J50">
            <v>391380</v>
          </cell>
        </row>
        <row r="51">
          <cell r="F51">
            <v>683048</v>
          </cell>
          <cell r="G51">
            <v>683048</v>
          </cell>
          <cell r="H51">
            <v>683048</v>
          </cell>
          <cell r="I51">
            <v>428717</v>
          </cell>
          <cell r="J51">
            <v>683048</v>
          </cell>
        </row>
        <row r="52">
          <cell r="F52">
            <v>14667983</v>
          </cell>
          <cell r="G52">
            <v>6199085</v>
          </cell>
          <cell r="H52">
            <v>6589004</v>
          </cell>
          <cell r="I52">
            <v>7823783</v>
          </cell>
          <cell r="J52">
            <v>9736506</v>
          </cell>
        </row>
        <row r="65">
          <cell r="F65">
            <v>38715485</v>
          </cell>
          <cell r="G65">
            <v>28632157</v>
          </cell>
          <cell r="H65">
            <v>35125738</v>
          </cell>
          <cell r="I65">
            <v>41528969</v>
          </cell>
          <cell r="J65">
            <v>47339770</v>
          </cell>
        </row>
        <row r="66">
          <cell r="F66">
            <v>33505579</v>
          </cell>
          <cell r="G66">
            <v>28101039</v>
          </cell>
          <cell r="H66">
            <v>31960144</v>
          </cell>
          <cell r="I66">
            <v>36875646</v>
          </cell>
          <cell r="J66">
            <v>39542834</v>
          </cell>
        </row>
        <row r="68">
          <cell r="F68">
            <v>2164509</v>
          </cell>
          <cell r="G68">
            <v>2390236</v>
          </cell>
          <cell r="H68">
            <v>2254844</v>
          </cell>
          <cell r="I68">
            <v>2298706</v>
          </cell>
          <cell r="J68">
            <v>2838368</v>
          </cell>
        </row>
        <row r="69">
          <cell r="F69">
            <v>946717</v>
          </cell>
          <cell r="G69">
            <v>579542</v>
          </cell>
          <cell r="H69">
            <v>528433</v>
          </cell>
          <cell r="I69">
            <v>586174</v>
          </cell>
          <cell r="J69">
            <v>863533</v>
          </cell>
        </row>
        <row r="72">
          <cell r="F72">
            <v>8050815</v>
          </cell>
          <cell r="G72">
            <v>6196524</v>
          </cell>
          <cell r="H72">
            <v>1358789</v>
          </cell>
          <cell r="I72">
            <v>63706</v>
          </cell>
          <cell r="J72">
            <v>-358507</v>
          </cell>
        </row>
        <row r="73">
          <cell r="F73">
            <v>188288</v>
          </cell>
          <cell r="G73">
            <v>11720</v>
          </cell>
          <cell r="H73">
            <v>76445</v>
          </cell>
          <cell r="I73">
            <v>0</v>
          </cell>
          <cell r="J73">
            <v>144126</v>
          </cell>
        </row>
        <row r="74">
          <cell r="F74">
            <v>6624280</v>
          </cell>
          <cell r="G74">
            <v>6229530</v>
          </cell>
          <cell r="H74">
            <v>1459144</v>
          </cell>
          <cell r="I74">
            <v>296887</v>
          </cell>
          <cell r="J74">
            <v>530857</v>
          </cell>
        </row>
        <row r="77">
          <cell r="F77">
            <v>1602245</v>
          </cell>
          <cell r="G77">
            <v>162667</v>
          </cell>
          <cell r="H77">
            <v>-184402</v>
          </cell>
          <cell r="I77">
            <v>300483</v>
          </cell>
          <cell r="J77">
            <v>1148822</v>
          </cell>
        </row>
        <row r="83">
          <cell r="F83">
            <v>3362885</v>
          </cell>
          <cell r="G83">
            <v>3846401</v>
          </cell>
          <cell r="H83">
            <v>4254198</v>
          </cell>
          <cell r="I83">
            <v>4496319</v>
          </cell>
          <cell r="J83">
            <v>4695706</v>
          </cell>
        </row>
        <row r="84">
          <cell r="F84">
            <v>51911</v>
          </cell>
          <cell r="G84">
            <v>59385</v>
          </cell>
          <cell r="H84">
            <v>65795</v>
          </cell>
          <cell r="I84">
            <v>77122</v>
          </cell>
          <cell r="J84">
            <v>89281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77"/>
  <sheetViews>
    <sheetView tabSelected="1" zoomScale="90" zoomScaleNormal="90" workbookViewId="0">
      <selection activeCell="A12" sqref="A12"/>
    </sheetView>
  </sheetViews>
  <sheetFormatPr baseColWidth="10" defaultRowHeight="15" x14ac:dyDescent="0.25"/>
  <cols>
    <col min="1" max="1" width="59.7109375" style="2" customWidth="1"/>
    <col min="2" max="2" width="44.140625" style="2" bestFit="1" customWidth="1"/>
    <col min="3" max="5" width="16" style="2" bestFit="1" customWidth="1"/>
    <col min="6" max="6" width="14.28515625" style="2" bestFit="1" customWidth="1"/>
    <col min="7" max="7" width="15.85546875" style="2" bestFit="1" customWidth="1"/>
    <col min="8" max="8" width="11.42578125" style="2"/>
    <col min="9" max="13" width="12.85546875" style="2" bestFit="1" customWidth="1"/>
    <col min="14" max="16384" width="11.42578125" style="2"/>
  </cols>
  <sheetData>
    <row r="3" spans="2:8" ht="26.25" x14ac:dyDescent="0.4">
      <c r="B3" s="129" t="s">
        <v>143</v>
      </c>
      <c r="C3" s="129"/>
      <c r="D3" s="129"/>
      <c r="E3" s="129"/>
      <c r="F3" s="129"/>
      <c r="G3" s="129"/>
    </row>
    <row r="5" spans="2:8" ht="15.75" thickBot="1" x14ac:dyDescent="0.3"/>
    <row r="6" spans="2:8" ht="27.75" customHeight="1" x14ac:dyDescent="0.25">
      <c r="B6" s="126" t="s">
        <v>169</v>
      </c>
      <c r="C6" s="127"/>
      <c r="D6" s="127"/>
      <c r="E6" s="127"/>
      <c r="F6" s="127"/>
      <c r="G6" s="128"/>
    </row>
    <row r="7" spans="2:8" ht="20.25" thickBot="1" x14ac:dyDescent="0.35">
      <c r="B7" s="123" t="s">
        <v>81</v>
      </c>
      <c r="C7" s="124"/>
      <c r="D7" s="124"/>
      <c r="E7" s="124"/>
      <c r="F7" s="124"/>
      <c r="G7" s="125"/>
    </row>
    <row r="8" spans="2:8" ht="15.75" thickBot="1" x14ac:dyDescent="0.3">
      <c r="B8" s="16"/>
      <c r="C8" s="16"/>
      <c r="D8" s="16"/>
      <c r="E8" s="16"/>
    </row>
    <row r="9" spans="2:8" ht="20.25" x14ac:dyDescent="0.55000000000000004">
      <c r="B9" s="38"/>
      <c r="C9" s="39">
        <v>2015</v>
      </c>
      <c r="D9" s="39">
        <v>2016</v>
      </c>
      <c r="E9" s="39">
        <v>2017</v>
      </c>
      <c r="F9" s="39">
        <v>2018</v>
      </c>
      <c r="G9" s="40">
        <v>2019</v>
      </c>
    </row>
    <row r="10" spans="2:8" ht="15.75" x14ac:dyDescent="0.25">
      <c r="B10" s="34" t="s">
        <v>82</v>
      </c>
      <c r="C10" s="35"/>
      <c r="D10" s="35"/>
      <c r="E10" s="35"/>
      <c r="F10" s="16"/>
      <c r="G10" s="22"/>
    </row>
    <row r="11" spans="2:8" ht="15.75" x14ac:dyDescent="0.25">
      <c r="B11" s="34" t="s">
        <v>83</v>
      </c>
      <c r="C11" s="35"/>
      <c r="D11" s="35"/>
      <c r="E11" s="35"/>
      <c r="F11" s="100"/>
      <c r="G11" s="22"/>
    </row>
    <row r="12" spans="2:8" ht="15.75" x14ac:dyDescent="0.25">
      <c r="B12" s="33" t="s">
        <v>84</v>
      </c>
      <c r="C12" s="35">
        <f>+'[1]Cifras Historicas'!F17</f>
        <v>3103253</v>
      </c>
      <c r="D12" s="35">
        <f>+'[1]Cifras Historicas'!G17</f>
        <v>1180062</v>
      </c>
      <c r="E12" s="35">
        <f>+'[1]Cifras Historicas'!H17</f>
        <v>807943</v>
      </c>
      <c r="F12" s="35">
        <f>+'[1]Cifras Historicas'!I17</f>
        <v>2687829</v>
      </c>
      <c r="G12" s="35">
        <f>+'[1]Cifras Historicas'!J17</f>
        <v>2554195</v>
      </c>
      <c r="H12" s="102" t="s">
        <v>154</v>
      </c>
    </row>
    <row r="13" spans="2:8" ht="15.75" x14ac:dyDescent="0.25">
      <c r="B13" s="33" t="s">
        <v>85</v>
      </c>
      <c r="C13" s="35">
        <f>+'[1]Cifras Historicas'!F18</f>
        <v>123118</v>
      </c>
      <c r="D13" s="35">
        <f>+'[1]Cifras Historicas'!G18</f>
        <v>3001698</v>
      </c>
      <c r="E13" s="35">
        <f>+'[1]Cifras Historicas'!H18</f>
        <v>3464630</v>
      </c>
      <c r="F13" s="35">
        <f>+'[1]Cifras Historicas'!I18</f>
        <v>2966552</v>
      </c>
      <c r="G13" s="35">
        <f>+'[1]Cifras Historicas'!J18</f>
        <v>3605195</v>
      </c>
      <c r="H13" s="102"/>
    </row>
    <row r="14" spans="2:8" ht="15.75" x14ac:dyDescent="0.25">
      <c r="B14" s="33" t="s">
        <v>86</v>
      </c>
      <c r="C14" s="35">
        <f>+'[1]Cifras Historicas'!F19</f>
        <v>14421502</v>
      </c>
      <c r="D14" s="35">
        <f>+'[1]Cifras Historicas'!G19</f>
        <v>5024392</v>
      </c>
      <c r="E14" s="35">
        <f>+'[1]Cifras Historicas'!H19</f>
        <v>4818344</v>
      </c>
      <c r="F14" s="35">
        <f>+'[1]Cifras Historicas'!I19</f>
        <v>7030714</v>
      </c>
      <c r="G14" s="35">
        <f>+'[1]Cifras Historicas'!J19</f>
        <v>7468543</v>
      </c>
      <c r="H14" s="102"/>
    </row>
    <row r="15" spans="2:8" ht="15.75" x14ac:dyDescent="0.25">
      <c r="B15" s="33" t="s">
        <v>87</v>
      </c>
      <c r="C15" s="35">
        <f>+'[1]Cifras Historicas'!F20</f>
        <v>4618740</v>
      </c>
      <c r="D15" s="35">
        <f>+'[1]Cifras Historicas'!G20</f>
        <v>5719287</v>
      </c>
      <c r="E15" s="35">
        <f>+'[1]Cifras Historicas'!H20</f>
        <v>6520213</v>
      </c>
      <c r="F15" s="35">
        <f>+'[1]Cifras Historicas'!I20</f>
        <v>5035879</v>
      </c>
      <c r="G15" s="35">
        <f>+'[1]Cifras Historicas'!J20</f>
        <v>7698465</v>
      </c>
      <c r="H15" s="102"/>
    </row>
    <row r="16" spans="2:8" ht="15.75" x14ac:dyDescent="0.25">
      <c r="B16" s="33" t="s">
        <v>170</v>
      </c>
      <c r="C16" s="35">
        <f>+'[1]Cifras Historicas'!F21</f>
        <v>2022913</v>
      </c>
      <c r="D16" s="35">
        <f>+'[1]Cifras Historicas'!G21</f>
        <v>25801</v>
      </c>
      <c r="E16" s="35">
        <f>+'[1]Cifras Historicas'!H21</f>
        <v>11885</v>
      </c>
      <c r="F16" s="35">
        <f>+'[1]Cifras Historicas'!I21</f>
        <v>10402</v>
      </c>
      <c r="G16" s="35">
        <f>+'[1]Cifras Historicas'!J21</f>
        <v>54294</v>
      </c>
      <c r="H16" s="102"/>
    </row>
    <row r="17" spans="2:10" ht="15.75" x14ac:dyDescent="0.25">
      <c r="B17" s="34" t="s">
        <v>88</v>
      </c>
      <c r="C17" s="45">
        <f t="shared" ref="C17:G17" si="0">SUM(C12:C16)</f>
        <v>24289526</v>
      </c>
      <c r="D17" s="45">
        <f t="shared" si="0"/>
        <v>14951240</v>
      </c>
      <c r="E17" s="45">
        <f t="shared" si="0"/>
        <v>15623015</v>
      </c>
      <c r="F17" s="45">
        <f t="shared" si="0"/>
        <v>17731376</v>
      </c>
      <c r="G17" s="48">
        <f t="shared" si="0"/>
        <v>21380692</v>
      </c>
      <c r="H17" s="102"/>
    </row>
    <row r="18" spans="2:10" ht="15.75" x14ac:dyDescent="0.25">
      <c r="B18" s="33"/>
      <c r="C18" s="35"/>
      <c r="D18" s="35"/>
      <c r="E18" s="35"/>
      <c r="F18" s="16"/>
      <c r="G18" s="22"/>
    </row>
    <row r="19" spans="2:10" ht="15.75" x14ac:dyDescent="0.25">
      <c r="B19" s="34" t="s">
        <v>89</v>
      </c>
      <c r="C19" s="35"/>
      <c r="D19" s="35"/>
      <c r="E19" s="35"/>
      <c r="F19" s="16"/>
      <c r="G19" s="22"/>
    </row>
    <row r="20" spans="2:10" ht="15.75" x14ac:dyDescent="0.25">
      <c r="B20" s="33" t="s">
        <v>85</v>
      </c>
      <c r="C20" s="35">
        <v>0</v>
      </c>
      <c r="D20" s="35">
        <v>0</v>
      </c>
      <c r="E20" s="35">
        <v>0</v>
      </c>
      <c r="F20" s="35">
        <v>0</v>
      </c>
      <c r="G20" s="36">
        <v>0</v>
      </c>
    </row>
    <row r="21" spans="2:10" ht="15.75" x14ac:dyDescent="0.25">
      <c r="B21" s="33" t="s">
        <v>90</v>
      </c>
      <c r="C21" s="35">
        <v>0</v>
      </c>
      <c r="D21" s="35">
        <v>0</v>
      </c>
      <c r="E21" s="35">
        <v>0</v>
      </c>
      <c r="F21" s="35">
        <v>0</v>
      </c>
      <c r="G21" s="36">
        <v>0</v>
      </c>
    </row>
    <row r="22" spans="2:10" ht="15.75" x14ac:dyDescent="0.25">
      <c r="B22" s="33" t="s">
        <v>91</v>
      </c>
      <c r="C22" s="35">
        <f>+'[1]Cifras Historicas'!F26</f>
        <v>2026164</v>
      </c>
      <c r="D22" s="35">
        <f>+'[1]Cifras Historicas'!G26</f>
        <v>2015598</v>
      </c>
      <c r="E22" s="35">
        <f>+'[1]Cifras Historicas'!H26</f>
        <v>1674573</v>
      </c>
      <c r="F22" s="35">
        <f>+'[1]Cifras Historicas'!I26</f>
        <v>1860558</v>
      </c>
      <c r="G22" s="35">
        <f>+'[1]Cifras Historicas'!J26</f>
        <v>2257287</v>
      </c>
      <c r="J22" s="35"/>
    </row>
    <row r="23" spans="2:10" ht="15.75" x14ac:dyDescent="0.25">
      <c r="B23" s="33" t="s">
        <v>92</v>
      </c>
      <c r="C23" s="35">
        <f>+'[1]Cifras Historicas'!F27</f>
        <v>15755</v>
      </c>
      <c r="D23" s="35">
        <f>+'[1]Cifras Historicas'!G27</f>
        <v>11055</v>
      </c>
      <c r="E23" s="35">
        <f>+'[1]Cifras Historicas'!H27</f>
        <v>22491</v>
      </c>
      <c r="F23" s="35">
        <f>+'[1]Cifras Historicas'!I27</f>
        <v>30573</v>
      </c>
      <c r="G23" s="35">
        <f>+'[1]Cifras Historicas'!J27</f>
        <v>18414</v>
      </c>
    </row>
    <row r="24" spans="2:10" ht="15.75" x14ac:dyDescent="0.25">
      <c r="B24" s="114" t="s">
        <v>93</v>
      </c>
      <c r="C24" s="35">
        <f>+'[1]Cifras Historicas'!F28</f>
        <v>500430</v>
      </c>
      <c r="D24" s="35">
        <f>+'[1]Cifras Historicas'!G28</f>
        <v>595124</v>
      </c>
      <c r="E24" s="35">
        <f>+'[1]Cifras Historicas'!H28</f>
        <v>868092</v>
      </c>
      <c r="F24" s="35">
        <f>+'[1]Cifras Historicas'!I28</f>
        <v>772009</v>
      </c>
      <c r="G24" s="35">
        <f>+'[1]Cifras Historicas'!J28</f>
        <v>768312</v>
      </c>
    </row>
    <row r="25" spans="2:10" ht="15.75" x14ac:dyDescent="0.25">
      <c r="B25" s="34" t="s">
        <v>94</v>
      </c>
      <c r="C25" s="45">
        <f>SUM(C20:C24)</f>
        <v>2542349</v>
      </c>
      <c r="D25" s="45">
        <f>SUM(D20:D24)</f>
        <v>2621777</v>
      </c>
      <c r="E25" s="45">
        <f t="shared" ref="E25:G25" si="1">SUM(E20:E24)</f>
        <v>2565156</v>
      </c>
      <c r="F25" s="45">
        <f t="shared" si="1"/>
        <v>2663140</v>
      </c>
      <c r="G25" s="48">
        <f t="shared" si="1"/>
        <v>3044013</v>
      </c>
    </row>
    <row r="26" spans="2:10" ht="15.75" x14ac:dyDescent="0.25">
      <c r="B26" s="34" t="s">
        <v>95</v>
      </c>
      <c r="C26" s="45">
        <f>C17+C25</f>
        <v>26831875</v>
      </c>
      <c r="D26" s="45">
        <f>D17+D25</f>
        <v>17573017</v>
      </c>
      <c r="E26" s="45">
        <f t="shared" ref="E26:G26" si="2">E17+E25</f>
        <v>18188171</v>
      </c>
      <c r="F26" s="45">
        <f t="shared" si="2"/>
        <v>20394516</v>
      </c>
      <c r="G26" s="48">
        <f t="shared" si="2"/>
        <v>24424705</v>
      </c>
    </row>
    <row r="27" spans="2:10" ht="15.75" x14ac:dyDescent="0.25">
      <c r="B27" s="33"/>
      <c r="C27" s="35"/>
      <c r="D27" s="35"/>
      <c r="E27" s="35"/>
      <c r="F27" s="16"/>
      <c r="G27" s="22"/>
    </row>
    <row r="28" spans="2:10" ht="15.75" x14ac:dyDescent="0.25">
      <c r="B28" s="34" t="s">
        <v>96</v>
      </c>
      <c r="C28" s="35"/>
      <c r="D28" s="35"/>
      <c r="E28" s="35"/>
      <c r="F28" s="16"/>
      <c r="G28" s="22"/>
    </row>
    <row r="29" spans="2:10" ht="15.75" x14ac:dyDescent="0.25">
      <c r="B29" s="34" t="s">
        <v>97</v>
      </c>
      <c r="C29" s="35"/>
      <c r="D29" s="35"/>
      <c r="E29" s="35"/>
      <c r="F29" s="16"/>
      <c r="G29" s="22"/>
    </row>
    <row r="30" spans="2:10" ht="15.75" x14ac:dyDescent="0.25">
      <c r="B30" s="33" t="s">
        <v>98</v>
      </c>
      <c r="C30" s="35">
        <f>+'[1]Cifras Historicas'!F34</f>
        <v>5471054</v>
      </c>
      <c r="D30" s="35">
        <f>+'[1]Cifras Historicas'!G34</f>
        <v>5323898</v>
      </c>
      <c r="E30" s="35">
        <f>+'[1]Cifras Historicas'!H34</f>
        <v>4784801</v>
      </c>
      <c r="F30" s="35">
        <f>+'[1]Cifras Historicas'!I34</f>
        <v>2204331</v>
      </c>
      <c r="G30" s="35">
        <f>+'[1]Cifras Historicas'!J34</f>
        <v>1950000</v>
      </c>
    </row>
    <row r="31" spans="2:10" ht="15.75" x14ac:dyDescent="0.25">
      <c r="B31" s="33" t="s">
        <v>99</v>
      </c>
      <c r="C31" s="35">
        <f>+'[1]Cifras Historicas'!F35</f>
        <v>4150120</v>
      </c>
      <c r="D31" s="35">
        <f>+'[1]Cifras Historicas'!G35</f>
        <v>3690546</v>
      </c>
      <c r="E31" s="35">
        <f>+'[1]Cifras Historicas'!H35</f>
        <v>4623497</v>
      </c>
      <c r="F31" s="35">
        <f>+'[1]Cifras Historicas'!I35</f>
        <v>8431694</v>
      </c>
      <c r="G31" s="35">
        <f>+'[1]Cifras Historicas'!J35</f>
        <v>8777872</v>
      </c>
    </row>
    <row r="32" spans="2:10" ht="15.75" x14ac:dyDescent="0.25">
      <c r="B32" s="33" t="s">
        <v>125</v>
      </c>
      <c r="C32" s="35">
        <v>0</v>
      </c>
      <c r="D32" s="35">
        <v>0</v>
      </c>
      <c r="E32" s="35">
        <v>0</v>
      </c>
      <c r="F32" s="35">
        <v>0</v>
      </c>
      <c r="G32" s="36">
        <v>0</v>
      </c>
    </row>
    <row r="33" spans="2:7" ht="15.75" x14ac:dyDescent="0.25">
      <c r="B33" s="33" t="s">
        <v>100</v>
      </c>
      <c r="C33" s="35">
        <f>+'[1]Cifras Historicas'!F37</f>
        <v>454170</v>
      </c>
      <c r="D33" s="35">
        <f>+'[1]Cifras Historicas'!G37</f>
        <v>270940</v>
      </c>
      <c r="E33" s="35">
        <f>+'[1]Cifras Historicas'!H37</f>
        <v>102321</v>
      </c>
      <c r="F33" s="35">
        <f>+'[1]Cifras Historicas'!I37</f>
        <v>100491</v>
      </c>
      <c r="G33" s="35">
        <f>+'[1]Cifras Historicas'!J37</f>
        <v>193963</v>
      </c>
    </row>
    <row r="34" spans="2:7" ht="15.75" x14ac:dyDescent="0.25">
      <c r="B34" s="33" t="s">
        <v>101</v>
      </c>
      <c r="C34" s="35">
        <v>0</v>
      </c>
      <c r="D34" s="35">
        <v>0</v>
      </c>
      <c r="E34" s="35">
        <v>0</v>
      </c>
      <c r="F34" s="35">
        <v>0</v>
      </c>
      <c r="G34" s="36">
        <f>+'[1]Cifras Historicas'!J38</f>
        <v>1286436</v>
      </c>
    </row>
    <row r="35" spans="2:7" ht="15.75" x14ac:dyDescent="0.25">
      <c r="B35" s="34" t="s">
        <v>102</v>
      </c>
      <c r="C35" s="45">
        <f>SUM(C30:C34)</f>
        <v>10075344</v>
      </c>
      <c r="D35" s="45">
        <f>SUM(D30:D34)</f>
        <v>9285384</v>
      </c>
      <c r="E35" s="45">
        <f>SUM(E30:E34)</f>
        <v>9510619</v>
      </c>
      <c r="F35" s="45">
        <f>SUM(F30:F34)</f>
        <v>10736516</v>
      </c>
      <c r="G35" s="48">
        <f>SUM(G30:G34)</f>
        <v>12208271</v>
      </c>
    </row>
    <row r="36" spans="2:7" ht="15.75" x14ac:dyDescent="0.25">
      <c r="B36" s="33"/>
      <c r="C36" s="35"/>
      <c r="D36" s="35"/>
      <c r="E36" s="35"/>
      <c r="F36" s="16"/>
      <c r="G36" s="22"/>
    </row>
    <row r="37" spans="2:7" ht="15.75" x14ac:dyDescent="0.25">
      <c r="B37" s="34" t="s">
        <v>103</v>
      </c>
      <c r="C37" s="35"/>
      <c r="D37" s="35"/>
      <c r="E37" s="35"/>
      <c r="F37" s="16"/>
      <c r="G37" s="22"/>
    </row>
    <row r="38" spans="2:7" ht="15.75" x14ac:dyDescent="0.25">
      <c r="B38" s="33" t="s">
        <v>98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</row>
    <row r="39" spans="2:7" ht="15.75" x14ac:dyDescent="0.25">
      <c r="B39" s="33" t="s">
        <v>104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</row>
    <row r="40" spans="2:7" ht="15.75" x14ac:dyDescent="0.25">
      <c r="B40" s="33" t="s">
        <v>101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</row>
    <row r="41" spans="2:7" ht="15.75" x14ac:dyDescent="0.25">
      <c r="B41" s="34" t="s">
        <v>102</v>
      </c>
      <c r="C41" s="45">
        <f t="shared" ref="C41:G41" si="3">SUM(C38:C40)</f>
        <v>0</v>
      </c>
      <c r="D41" s="45">
        <f t="shared" si="3"/>
        <v>0</v>
      </c>
      <c r="E41" s="45">
        <f t="shared" si="3"/>
        <v>0</v>
      </c>
      <c r="F41" s="45">
        <f t="shared" si="3"/>
        <v>0</v>
      </c>
      <c r="G41" s="48">
        <f t="shared" si="3"/>
        <v>0</v>
      </c>
    </row>
    <row r="42" spans="2:7" ht="15.75" x14ac:dyDescent="0.25">
      <c r="B42" s="34" t="s">
        <v>105</v>
      </c>
      <c r="C42" s="45">
        <f t="shared" ref="C42:G42" si="4">C35+C41</f>
        <v>10075344</v>
      </c>
      <c r="D42" s="45">
        <f t="shared" si="4"/>
        <v>9285384</v>
      </c>
      <c r="E42" s="45">
        <f t="shared" si="4"/>
        <v>9510619</v>
      </c>
      <c r="F42" s="45">
        <f t="shared" si="4"/>
        <v>10736516</v>
      </c>
      <c r="G42" s="48">
        <f t="shared" si="4"/>
        <v>12208271</v>
      </c>
    </row>
    <row r="43" spans="2:7" ht="15.75" x14ac:dyDescent="0.25">
      <c r="B43" s="33"/>
      <c r="C43" s="35"/>
      <c r="D43" s="35"/>
      <c r="E43" s="35"/>
      <c r="F43" s="16"/>
      <c r="G43" s="22"/>
    </row>
    <row r="44" spans="2:7" ht="15.75" x14ac:dyDescent="0.25">
      <c r="B44" s="34" t="s">
        <v>106</v>
      </c>
      <c r="C44" s="35"/>
      <c r="D44" s="35"/>
      <c r="E44" s="35"/>
      <c r="F44" s="16"/>
      <c r="G44" s="22"/>
    </row>
    <row r="45" spans="2:7" ht="15.75" x14ac:dyDescent="0.25">
      <c r="B45" s="33" t="s">
        <v>107</v>
      </c>
      <c r="C45" s="35">
        <f>+'[1]Cifras Historicas'!F49</f>
        <v>1405500</v>
      </c>
      <c r="D45" s="35">
        <f>+'[1]Cifras Historicas'!G49</f>
        <v>1405500</v>
      </c>
      <c r="E45" s="35">
        <f>+'[1]Cifras Historicas'!H49</f>
        <v>1405500</v>
      </c>
      <c r="F45" s="35">
        <f>+'[1]Cifras Historicas'!I49</f>
        <v>1405500</v>
      </c>
      <c r="G45" s="35">
        <f>+'[1]Cifras Historicas'!J49</f>
        <v>1405500</v>
      </c>
    </row>
    <row r="46" spans="2:7" ht="15.75" x14ac:dyDescent="0.25">
      <c r="B46" s="33" t="s">
        <v>108</v>
      </c>
      <c r="C46" s="35">
        <f>+'[1]Cifras Historicas'!F50</f>
        <v>0</v>
      </c>
      <c r="D46" s="35">
        <f>+'[1]Cifras Historicas'!G50</f>
        <v>0</v>
      </c>
      <c r="E46" s="35">
        <f>+'[1]Cifras Historicas'!H50</f>
        <v>0</v>
      </c>
      <c r="F46" s="35">
        <f>+'[1]Cifras Historicas'!I50</f>
        <v>0</v>
      </c>
      <c r="G46" s="35">
        <f>+'[1]Cifras Historicas'!J50</f>
        <v>391380</v>
      </c>
    </row>
    <row r="47" spans="2:7" ht="15.75" x14ac:dyDescent="0.25">
      <c r="B47" s="33" t="s">
        <v>109</v>
      </c>
      <c r="C47" s="35">
        <f>+'[1]Cifras Historicas'!F51</f>
        <v>683048</v>
      </c>
      <c r="D47" s="35">
        <f>+'[1]Cifras Historicas'!G51</f>
        <v>683048</v>
      </c>
      <c r="E47" s="35">
        <f>+'[1]Cifras Historicas'!H51</f>
        <v>683048</v>
      </c>
      <c r="F47" s="35">
        <f>+'[1]Cifras Historicas'!I51</f>
        <v>428717</v>
      </c>
      <c r="G47" s="35">
        <f>+'[1]Cifras Historicas'!J51</f>
        <v>683048</v>
      </c>
    </row>
    <row r="48" spans="2:7" ht="15.75" x14ac:dyDescent="0.25">
      <c r="B48" s="33" t="s">
        <v>110</v>
      </c>
      <c r="C48" s="35">
        <f>+'[1]Cifras Historicas'!F52</f>
        <v>14667983</v>
      </c>
      <c r="D48" s="35">
        <f>+'[1]Cifras Historicas'!G52</f>
        <v>6199085</v>
      </c>
      <c r="E48" s="35">
        <f>+'[1]Cifras Historicas'!H52</f>
        <v>6589004</v>
      </c>
      <c r="F48" s="35">
        <f>+'[1]Cifras Historicas'!I52</f>
        <v>7823783</v>
      </c>
      <c r="G48" s="35">
        <f>+'[1]Cifras Historicas'!J52</f>
        <v>9736506</v>
      </c>
    </row>
    <row r="49" spans="2:15" ht="15.75" x14ac:dyDescent="0.25">
      <c r="B49" s="34" t="s">
        <v>111</v>
      </c>
      <c r="C49" s="45">
        <f>SUM(C45:C48)</f>
        <v>16756531</v>
      </c>
      <c r="D49" s="45">
        <f>SUM(D45:D48)</f>
        <v>8287633</v>
      </c>
      <c r="E49" s="45">
        <f>SUM(E45:E48)</f>
        <v>8677552</v>
      </c>
      <c r="F49" s="45">
        <f>SUM(F45:F48)</f>
        <v>9658000</v>
      </c>
      <c r="G49" s="48">
        <f>SUM(G45:G48)</f>
        <v>12216434</v>
      </c>
    </row>
    <row r="50" spans="2:15" ht="16.5" thickBot="1" x14ac:dyDescent="0.3">
      <c r="B50" s="37" t="s">
        <v>112</v>
      </c>
      <c r="C50" s="50">
        <f>C42+C49</f>
        <v>26831875</v>
      </c>
      <c r="D50" s="50">
        <f>D42+D49</f>
        <v>17573017</v>
      </c>
      <c r="E50" s="50">
        <f>E42+E49</f>
        <v>18188171</v>
      </c>
      <c r="F50" s="50">
        <f>F42+F49</f>
        <v>20394516</v>
      </c>
      <c r="G50" s="51">
        <f>G42+G49</f>
        <v>24424705</v>
      </c>
    </row>
    <row r="51" spans="2:15" ht="16.5" thickBot="1" x14ac:dyDescent="0.3">
      <c r="B51" s="52" t="s">
        <v>113</v>
      </c>
      <c r="C51" s="53">
        <f>C26-C50</f>
        <v>0</v>
      </c>
      <c r="D51" s="53">
        <f>D26-D50</f>
        <v>0</v>
      </c>
      <c r="E51" s="53">
        <f>E26-E50</f>
        <v>0</v>
      </c>
      <c r="F51" s="53">
        <f>F26-F50</f>
        <v>0</v>
      </c>
      <c r="G51" s="54">
        <f>G26-G50</f>
        <v>0</v>
      </c>
      <c r="I51" s="101"/>
    </row>
    <row r="52" spans="2:15" x14ac:dyDescent="0.25">
      <c r="B52" s="1" t="s">
        <v>114</v>
      </c>
    </row>
    <row r="53" spans="2:15" ht="15.75" thickBot="1" x14ac:dyDescent="0.3"/>
    <row r="54" spans="2:15" ht="27.75" customHeight="1" x14ac:dyDescent="0.25">
      <c r="B54" s="126" t="str">
        <f>B6</f>
        <v>EMPRESA FINART S.A.S</v>
      </c>
      <c r="C54" s="127"/>
      <c r="D54" s="127"/>
      <c r="E54" s="127"/>
      <c r="F54" s="127"/>
      <c r="G54" s="128"/>
    </row>
    <row r="55" spans="2:15" ht="20.25" thickBot="1" x14ac:dyDescent="0.35">
      <c r="B55" s="123" t="s">
        <v>115</v>
      </c>
      <c r="C55" s="124"/>
      <c r="D55" s="124"/>
      <c r="E55" s="124"/>
      <c r="F55" s="124"/>
      <c r="G55" s="125"/>
    </row>
    <row r="56" spans="2:15" ht="20.25" x14ac:dyDescent="0.55000000000000004">
      <c r="B56" s="38"/>
      <c r="C56" s="39">
        <f t="shared" ref="C56:G56" si="5">C9</f>
        <v>2015</v>
      </c>
      <c r="D56" s="39">
        <f t="shared" si="5"/>
        <v>2016</v>
      </c>
      <c r="E56" s="39">
        <f t="shared" si="5"/>
        <v>2017</v>
      </c>
      <c r="F56" s="39">
        <f t="shared" si="5"/>
        <v>2018</v>
      </c>
      <c r="G56" s="40">
        <f t="shared" si="5"/>
        <v>2019</v>
      </c>
    </row>
    <row r="57" spans="2:15" ht="20.25" x14ac:dyDescent="0.55000000000000004">
      <c r="B57" s="33"/>
      <c r="C57" s="41"/>
      <c r="D57" s="41"/>
      <c r="E57" s="41"/>
      <c r="F57" s="16"/>
      <c r="G57" s="22"/>
    </row>
    <row r="58" spans="2:15" ht="15.75" x14ac:dyDescent="0.25">
      <c r="B58" s="33" t="s">
        <v>116</v>
      </c>
      <c r="C58" s="35">
        <f>+'[1]Cifras Historicas'!F65</f>
        <v>38715485</v>
      </c>
      <c r="D58" s="35">
        <f>+'[1]Cifras Historicas'!G65</f>
        <v>28632157</v>
      </c>
      <c r="E58" s="35">
        <f>+'[1]Cifras Historicas'!H65</f>
        <v>35125738</v>
      </c>
      <c r="F58" s="35">
        <f>+'[1]Cifras Historicas'!I65</f>
        <v>41528969</v>
      </c>
      <c r="G58" s="35">
        <f>+'[1]Cifras Historicas'!J65</f>
        <v>47339770</v>
      </c>
      <c r="I58" s="101"/>
      <c r="J58" s="101"/>
      <c r="K58" s="101"/>
      <c r="L58" s="101"/>
      <c r="M58" s="101"/>
      <c r="N58" s="101"/>
      <c r="O58" s="101"/>
    </row>
    <row r="59" spans="2:15" ht="15.75" x14ac:dyDescent="0.25">
      <c r="B59" s="33" t="s">
        <v>117</v>
      </c>
      <c r="C59" s="115">
        <f>+'[1]Cifras Historicas'!F66</f>
        <v>33505579</v>
      </c>
      <c r="D59" s="115">
        <f>+'[1]Cifras Historicas'!G66</f>
        <v>28101039</v>
      </c>
      <c r="E59" s="115">
        <f>+'[1]Cifras Historicas'!H66</f>
        <v>31960144</v>
      </c>
      <c r="F59" s="115">
        <f>+'[1]Cifras Historicas'!I66</f>
        <v>36875646</v>
      </c>
      <c r="G59" s="115">
        <f>+'[1]Cifras Historicas'!J66</f>
        <v>39542834</v>
      </c>
      <c r="J59" s="102"/>
      <c r="K59" s="102"/>
      <c r="L59" s="102"/>
      <c r="M59" s="102"/>
    </row>
    <row r="60" spans="2:15" ht="15.75" x14ac:dyDescent="0.25">
      <c r="B60" s="33"/>
      <c r="C60" s="42"/>
      <c r="D60" s="42"/>
      <c r="E60" s="42"/>
      <c r="F60" s="16"/>
      <c r="G60" s="22"/>
      <c r="I60" s="47"/>
      <c r="J60" s="47"/>
      <c r="K60" s="47"/>
      <c r="L60" s="47"/>
      <c r="M60" s="47"/>
    </row>
    <row r="61" spans="2:15" ht="15.75" x14ac:dyDescent="0.25">
      <c r="B61" s="34" t="s">
        <v>118</v>
      </c>
      <c r="C61" s="45">
        <f t="shared" ref="C61:G61" si="6">C58-C59</f>
        <v>5209906</v>
      </c>
      <c r="D61" s="45">
        <f t="shared" si="6"/>
        <v>531118</v>
      </c>
      <c r="E61" s="45">
        <f t="shared" si="6"/>
        <v>3165594</v>
      </c>
      <c r="F61" s="45">
        <f t="shared" si="6"/>
        <v>4653323</v>
      </c>
      <c r="G61" s="48">
        <f t="shared" si="6"/>
        <v>7796936</v>
      </c>
      <c r="J61" s="102"/>
      <c r="K61" s="102"/>
      <c r="L61" s="102"/>
      <c r="M61" s="102"/>
    </row>
    <row r="62" spans="2:15" ht="15.75" x14ac:dyDescent="0.25">
      <c r="B62" s="33" t="s">
        <v>119</v>
      </c>
      <c r="C62" s="42">
        <f>+'[1]Cifras Historicas'!F68</f>
        <v>2164509</v>
      </c>
      <c r="D62" s="42">
        <f>+'[1]Cifras Historicas'!G68</f>
        <v>2390236</v>
      </c>
      <c r="E62" s="42">
        <f>+'[1]Cifras Historicas'!H68</f>
        <v>2254844</v>
      </c>
      <c r="F62" s="42">
        <f>+'[1]Cifras Historicas'!I68</f>
        <v>2298706</v>
      </c>
      <c r="G62" s="42">
        <f>+'[1]Cifras Historicas'!J68</f>
        <v>2838368</v>
      </c>
      <c r="I62" s="111"/>
      <c r="J62" s="103"/>
    </row>
    <row r="63" spans="2:15" ht="15.75" x14ac:dyDescent="0.25">
      <c r="B63" s="33" t="s">
        <v>120</v>
      </c>
      <c r="C63" s="42">
        <f>+'[1]Cifras Historicas'!F69</f>
        <v>946717</v>
      </c>
      <c r="D63" s="42">
        <f>+'[1]Cifras Historicas'!G69</f>
        <v>579542</v>
      </c>
      <c r="E63" s="42">
        <f>+'[1]Cifras Historicas'!H69</f>
        <v>528433</v>
      </c>
      <c r="F63" s="42">
        <f>+'[1]Cifras Historicas'!I69</f>
        <v>586174</v>
      </c>
      <c r="G63" s="42">
        <f>+'[1]Cifras Historicas'!J69</f>
        <v>863533</v>
      </c>
    </row>
    <row r="64" spans="2:15" ht="15.75" x14ac:dyDescent="0.25">
      <c r="B64" s="34" t="s">
        <v>8</v>
      </c>
      <c r="C64" s="46">
        <f t="shared" ref="C64:G64" si="7">C61-C62-C63</f>
        <v>2098680</v>
      </c>
      <c r="D64" s="46">
        <f t="shared" si="7"/>
        <v>-2438660</v>
      </c>
      <c r="E64" s="46">
        <f t="shared" si="7"/>
        <v>382317</v>
      </c>
      <c r="F64" s="46">
        <f t="shared" si="7"/>
        <v>1768443</v>
      </c>
      <c r="G64" s="49">
        <f t="shared" si="7"/>
        <v>4095035</v>
      </c>
    </row>
    <row r="65" spans="2:11" ht="15.75" x14ac:dyDescent="0.25">
      <c r="B65" s="33" t="s">
        <v>121</v>
      </c>
      <c r="C65" s="35">
        <f>+'[1]Cifras Historicas'!F72</f>
        <v>8050815</v>
      </c>
      <c r="D65" s="35">
        <f>+'[1]Cifras Historicas'!G72</f>
        <v>6196524</v>
      </c>
      <c r="E65" s="35">
        <f>+'[1]Cifras Historicas'!H72</f>
        <v>1358789</v>
      </c>
      <c r="F65" s="35">
        <f>+'[1]Cifras Historicas'!I72</f>
        <v>63706</v>
      </c>
      <c r="G65" s="35">
        <f>+'[1]Cifras Historicas'!J72</f>
        <v>-358507</v>
      </c>
    </row>
    <row r="66" spans="2:11" ht="15.75" x14ac:dyDescent="0.25">
      <c r="B66" s="33" t="s">
        <v>122</v>
      </c>
      <c r="C66" s="42">
        <f>+'[1]Cifras Historicas'!F73</f>
        <v>188288</v>
      </c>
      <c r="D66" s="42">
        <f>+'[1]Cifras Historicas'!G73</f>
        <v>11720</v>
      </c>
      <c r="E66" s="42">
        <f>+'[1]Cifras Historicas'!H73</f>
        <v>76445</v>
      </c>
      <c r="F66" s="42">
        <f>+'[1]Cifras Historicas'!I73</f>
        <v>0</v>
      </c>
      <c r="G66" s="42">
        <f>+'[1]Cifras Historicas'!J73</f>
        <v>144126</v>
      </c>
    </row>
    <row r="67" spans="2:11" ht="15.75" x14ac:dyDescent="0.25">
      <c r="B67" s="33" t="s">
        <v>126</v>
      </c>
      <c r="C67" s="42">
        <f>+'[1]Cifras Historicas'!F74</f>
        <v>6624280</v>
      </c>
      <c r="D67" s="42">
        <f>+'[1]Cifras Historicas'!G74</f>
        <v>6229530</v>
      </c>
      <c r="E67" s="42">
        <f>+'[1]Cifras Historicas'!H74</f>
        <v>1459144</v>
      </c>
      <c r="F67" s="42">
        <f>+'[1]Cifras Historicas'!I74</f>
        <v>296887</v>
      </c>
      <c r="G67" s="42">
        <f>+'[1]Cifras Historicas'!J74</f>
        <v>530857</v>
      </c>
      <c r="I67" s="1"/>
    </row>
    <row r="68" spans="2:11" ht="15.75" x14ac:dyDescent="0.25">
      <c r="B68" s="34" t="s">
        <v>123</v>
      </c>
      <c r="C68" s="45">
        <f t="shared" ref="C68:G68" si="8">C64+C65-C66-C67</f>
        <v>3336927</v>
      </c>
      <c r="D68" s="45">
        <f t="shared" si="8"/>
        <v>-2483386</v>
      </c>
      <c r="E68" s="45">
        <f t="shared" si="8"/>
        <v>205517</v>
      </c>
      <c r="F68" s="45">
        <f t="shared" si="8"/>
        <v>1535262</v>
      </c>
      <c r="G68" s="48">
        <f t="shared" si="8"/>
        <v>3061545</v>
      </c>
    </row>
    <row r="69" spans="2:11" ht="15.75" x14ac:dyDescent="0.25">
      <c r="B69" s="33" t="s">
        <v>124</v>
      </c>
      <c r="C69" s="42">
        <f>+'[1]Cifras Historicas'!F77</f>
        <v>1602245</v>
      </c>
      <c r="D69" s="42">
        <f>+'[1]Cifras Historicas'!G77</f>
        <v>162667</v>
      </c>
      <c r="E69" s="42">
        <f>+'[1]Cifras Historicas'!H77</f>
        <v>-184402</v>
      </c>
      <c r="F69" s="42">
        <f>+'[1]Cifras Historicas'!I77</f>
        <v>300483</v>
      </c>
      <c r="G69" s="42">
        <f>+'[1]Cifras Historicas'!J77</f>
        <v>1148822</v>
      </c>
      <c r="K69" s="2" t="s">
        <v>155</v>
      </c>
    </row>
    <row r="70" spans="2:11" ht="15.75" x14ac:dyDescent="0.25">
      <c r="B70" s="34" t="s">
        <v>5</v>
      </c>
      <c r="C70" s="45">
        <f t="shared" ref="C70:G70" si="9">C68-C69</f>
        <v>1734682</v>
      </c>
      <c r="D70" s="45">
        <f t="shared" si="9"/>
        <v>-2646053</v>
      </c>
      <c r="E70" s="45">
        <f t="shared" si="9"/>
        <v>389919</v>
      </c>
      <c r="F70" s="45">
        <f t="shared" si="9"/>
        <v>1234779</v>
      </c>
      <c r="G70" s="48">
        <f t="shared" si="9"/>
        <v>1912723</v>
      </c>
      <c r="H70" s="112"/>
    </row>
    <row r="71" spans="2:11" ht="15.75" thickBot="1" x14ac:dyDescent="0.3">
      <c r="B71" s="43"/>
      <c r="C71" s="44"/>
      <c r="D71" s="44"/>
      <c r="E71" s="44"/>
      <c r="F71" s="44"/>
      <c r="G71" s="23"/>
    </row>
    <row r="74" spans="2:11" ht="15.75" thickBot="1" x14ac:dyDescent="0.3"/>
    <row r="75" spans="2:11" ht="21" thickBot="1" x14ac:dyDescent="0.6">
      <c r="B75" s="63" t="s">
        <v>134</v>
      </c>
      <c r="C75" s="39">
        <f t="shared" ref="C75:G75" si="10">C56</f>
        <v>2015</v>
      </c>
      <c r="D75" s="39">
        <f t="shared" si="10"/>
        <v>2016</v>
      </c>
      <c r="E75" s="39">
        <f t="shared" si="10"/>
        <v>2017</v>
      </c>
      <c r="F75" s="39">
        <f t="shared" si="10"/>
        <v>2018</v>
      </c>
      <c r="G75" s="40">
        <f t="shared" si="10"/>
        <v>2019</v>
      </c>
    </row>
    <row r="76" spans="2:11" ht="15.75" x14ac:dyDescent="0.25">
      <c r="B76" s="33" t="s">
        <v>135</v>
      </c>
      <c r="C76" s="35">
        <f>+'[1]Cifras Historicas'!F83</f>
        <v>3362885</v>
      </c>
      <c r="D76" s="35">
        <f>+'[1]Cifras Historicas'!G83</f>
        <v>3846401</v>
      </c>
      <c r="E76" s="35">
        <f>+'[1]Cifras Historicas'!H83</f>
        <v>4254198</v>
      </c>
      <c r="F76" s="35">
        <f>+'[1]Cifras Historicas'!I83</f>
        <v>4496319</v>
      </c>
      <c r="G76" s="35">
        <f>+'[1]Cifras Historicas'!J83</f>
        <v>4695706</v>
      </c>
    </row>
    <row r="77" spans="2:11" ht="16.5" thickBot="1" x14ac:dyDescent="0.3">
      <c r="B77" s="55" t="s">
        <v>136</v>
      </c>
      <c r="C77" s="56">
        <f>+'[1]Cifras Historicas'!F84</f>
        <v>51911</v>
      </c>
      <c r="D77" s="56">
        <f>+'[1]Cifras Historicas'!G84</f>
        <v>59385</v>
      </c>
      <c r="E77" s="56">
        <f>+'[1]Cifras Historicas'!H84</f>
        <v>65795</v>
      </c>
      <c r="F77" s="56">
        <f>+'[1]Cifras Historicas'!I84</f>
        <v>77122</v>
      </c>
      <c r="G77" s="56">
        <f>+'[1]Cifras Historicas'!J84</f>
        <v>89281</v>
      </c>
    </row>
  </sheetData>
  <dataConsolidate/>
  <mergeCells count="5">
    <mergeCell ref="B55:G55"/>
    <mergeCell ref="B54:G54"/>
    <mergeCell ref="B7:G7"/>
    <mergeCell ref="B6:G6"/>
    <mergeCell ref="B3:G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zoomScale="90" zoomScaleNormal="90" workbookViewId="0">
      <selection activeCell="F19" sqref="F19"/>
    </sheetView>
  </sheetViews>
  <sheetFormatPr baseColWidth="10" defaultRowHeight="15" x14ac:dyDescent="0.25"/>
  <cols>
    <col min="1" max="1" width="62" style="2" customWidth="1"/>
    <col min="2" max="2" width="39" style="2" customWidth="1"/>
    <col min="3" max="3" width="14.42578125" style="2" hidden="1" customWidth="1"/>
    <col min="4" max="4" width="15.85546875" style="2" hidden="1" customWidth="1"/>
    <col min="5" max="7" width="15.85546875" style="2" bestFit="1" customWidth="1"/>
    <col min="8" max="16384" width="11.42578125" style="2"/>
  </cols>
  <sheetData>
    <row r="2" spans="2:7" ht="26.25" x14ac:dyDescent="0.4">
      <c r="B2" s="4" t="s">
        <v>31</v>
      </c>
    </row>
    <row r="4" spans="2:7" ht="18.75" x14ac:dyDescent="0.3">
      <c r="B4" s="26"/>
      <c r="C4" s="86">
        <f>'Inductores Operativos y Financi'!C14</f>
        <v>2015</v>
      </c>
      <c r="D4" s="86">
        <f>'Inductores Operativos y Financi'!D14</f>
        <v>2016</v>
      </c>
      <c r="E4" s="86">
        <f>'Inductores Operativos y Financi'!E14</f>
        <v>2017</v>
      </c>
      <c r="F4" s="86">
        <f>'Inductores Operativos y Financi'!F14</f>
        <v>2018</v>
      </c>
      <c r="G4" s="86">
        <f>'Inductores Operativos y Financi'!G14</f>
        <v>2019</v>
      </c>
    </row>
    <row r="5" spans="2:7" ht="18.75" x14ac:dyDescent="0.3">
      <c r="B5" s="27" t="s">
        <v>32</v>
      </c>
      <c r="C5" s="28">
        <f>+'Estados Financieros'!C64</f>
        <v>2098680</v>
      </c>
      <c r="D5" s="28">
        <f>+'Estados Financieros'!D64</f>
        <v>-2438660</v>
      </c>
      <c r="E5" s="28">
        <f>+'Estados Financieros'!E64</f>
        <v>382317</v>
      </c>
      <c r="F5" s="28">
        <f>+'Estados Financieros'!F64</f>
        <v>1768443</v>
      </c>
      <c r="G5" s="28">
        <f>+'Estados Financieros'!G64</f>
        <v>4095035</v>
      </c>
    </row>
    <row r="6" spans="2:7" ht="18.75" x14ac:dyDescent="0.3">
      <c r="B6" s="29" t="s">
        <v>76</v>
      </c>
      <c r="C6" s="28">
        <f>+'Estados Financieros'!C69</f>
        <v>1602245</v>
      </c>
      <c r="D6" s="28">
        <f>+'Estados Financieros'!D69</f>
        <v>162667</v>
      </c>
      <c r="E6" s="28">
        <f>+'Estados Financieros'!E69</f>
        <v>-184402</v>
      </c>
      <c r="F6" s="28">
        <f>+'Estados Financieros'!F69</f>
        <v>300483</v>
      </c>
      <c r="G6" s="28">
        <f>+'Estados Financieros'!G69</f>
        <v>1148822</v>
      </c>
    </row>
    <row r="7" spans="2:7" ht="18.75" x14ac:dyDescent="0.3">
      <c r="B7" s="27" t="s">
        <v>7</v>
      </c>
      <c r="C7" s="30">
        <f>+C5-C6</f>
        <v>496435</v>
      </c>
      <c r="D7" s="30">
        <f t="shared" ref="D7:G7" si="0">+D5-D6</f>
        <v>-2601327</v>
      </c>
      <c r="E7" s="30">
        <f t="shared" si="0"/>
        <v>566719</v>
      </c>
      <c r="F7" s="30">
        <f t="shared" si="0"/>
        <v>1467960</v>
      </c>
      <c r="G7" s="30">
        <f t="shared" si="0"/>
        <v>2946213</v>
      </c>
    </row>
    <row r="8" spans="2:7" ht="18.75" x14ac:dyDescent="0.3">
      <c r="B8" s="29" t="s">
        <v>77</v>
      </c>
      <c r="C8" s="28">
        <f>+'Estados Financieros'!C76</f>
        <v>3362885</v>
      </c>
      <c r="D8" s="28">
        <f>+'Estados Financieros'!D76</f>
        <v>3846401</v>
      </c>
      <c r="E8" s="28">
        <f>+'Estados Financieros'!E76</f>
        <v>4254198</v>
      </c>
      <c r="F8" s="28">
        <f>+'Estados Financieros'!F76</f>
        <v>4496319</v>
      </c>
      <c r="G8" s="28">
        <f>+'Estados Financieros'!G76</f>
        <v>4695706</v>
      </c>
    </row>
    <row r="9" spans="2:7" ht="18.75" x14ac:dyDescent="0.3">
      <c r="B9" s="29" t="s">
        <v>78</v>
      </c>
      <c r="C9" s="28">
        <f>+'Estados Financieros'!C77</f>
        <v>51911</v>
      </c>
      <c r="D9" s="28">
        <f>+'Estados Financieros'!D77</f>
        <v>59385</v>
      </c>
      <c r="E9" s="28">
        <f>+'Estados Financieros'!E77</f>
        <v>65795</v>
      </c>
      <c r="F9" s="28">
        <f>+'Estados Financieros'!F77</f>
        <v>77122</v>
      </c>
      <c r="G9" s="28">
        <f>+'Estados Financieros'!G77</f>
        <v>89281</v>
      </c>
    </row>
    <row r="10" spans="2:7" ht="18.75" x14ac:dyDescent="0.3">
      <c r="B10" s="27" t="s">
        <v>79</v>
      </c>
      <c r="C10" s="30">
        <f>+C7+C8+C9</f>
        <v>3911231</v>
      </c>
      <c r="D10" s="30">
        <f t="shared" ref="D10:G10" si="1">+D7+D8+D9</f>
        <v>1304459</v>
      </c>
      <c r="E10" s="30">
        <f t="shared" si="1"/>
        <v>4886712</v>
      </c>
      <c r="F10" s="30">
        <f t="shared" si="1"/>
        <v>6041401</v>
      </c>
      <c r="G10" s="30">
        <f t="shared" si="1"/>
        <v>7731200</v>
      </c>
    </row>
    <row r="11" spans="2:7" ht="18.75" x14ac:dyDescent="0.3">
      <c r="B11" s="29" t="s">
        <v>140</v>
      </c>
      <c r="C11" s="57"/>
      <c r="D11" s="31">
        <f>+'Inductores Operativos y Financi'!D68-'Inductores Operativos y Financi'!C68</f>
        <v>-7836989</v>
      </c>
      <c r="E11" s="31">
        <f>+'Inductores Operativos y Financi'!E68-'Inductores Operativos y Financi'!D68</f>
        <v>-338073</v>
      </c>
      <c r="F11" s="31">
        <f>+'Inductores Operativos y Financi'!F68-'Inductores Operativos y Financi'!E68</f>
        <v>-3080161</v>
      </c>
      <c r="G11" s="31">
        <f>+'Inductores Operativos y Financi'!G68-'Inductores Operativos y Financi'!F68</f>
        <v>2754237</v>
      </c>
    </row>
    <row r="12" spans="2:7" ht="18.75" x14ac:dyDescent="0.3">
      <c r="B12" s="29" t="s">
        <v>141</v>
      </c>
      <c r="C12" s="58"/>
      <c r="D12" s="31">
        <f>+'Estados Financieros'!D22-'Estados Financieros'!C22</f>
        <v>-10566</v>
      </c>
      <c r="E12" s="31">
        <f>+'Estados Financieros'!E22-'Estados Financieros'!D22</f>
        <v>-341025</v>
      </c>
      <c r="F12" s="31">
        <f>+'Estados Financieros'!F22-'Estados Financieros'!E22</f>
        <v>185985</v>
      </c>
      <c r="G12" s="31">
        <f>+'Estados Financieros'!G22-'Estados Financieros'!F22</f>
        <v>396729</v>
      </c>
    </row>
    <row r="13" spans="2:7" ht="18.75" x14ac:dyDescent="0.3">
      <c r="B13" s="72" t="s">
        <v>80</v>
      </c>
      <c r="C13" s="32">
        <f>+C10-C11-C12</f>
        <v>3911231</v>
      </c>
      <c r="D13" s="32">
        <f t="shared" ref="D13:G13" si="2">+D10-D11-D12</f>
        <v>9152014</v>
      </c>
      <c r="E13" s="32">
        <f t="shared" si="2"/>
        <v>5565810</v>
      </c>
      <c r="F13" s="32">
        <f t="shared" si="2"/>
        <v>8935577</v>
      </c>
      <c r="G13" s="32">
        <f t="shared" si="2"/>
        <v>4580234</v>
      </c>
    </row>
    <row r="15" spans="2:7" x14ac:dyDescent="0.25">
      <c r="B15" s="2" t="s">
        <v>164</v>
      </c>
      <c r="C15" s="2" t="s">
        <v>168</v>
      </c>
    </row>
    <row r="16" spans="2:7" x14ac:dyDescent="0.25">
      <c r="B16" s="2" t="s">
        <v>165</v>
      </c>
      <c r="C16" s="2" t="s">
        <v>166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7"/>
  <sheetViews>
    <sheetView topLeftCell="B1" zoomScale="80" zoomScaleNormal="80" workbookViewId="0">
      <selection activeCell="I7" sqref="I7"/>
    </sheetView>
  </sheetViews>
  <sheetFormatPr baseColWidth="10" defaultRowHeight="15" x14ac:dyDescent="0.25"/>
  <cols>
    <col min="1" max="1" width="60.140625" style="2" customWidth="1"/>
    <col min="2" max="2" width="73.5703125" style="2" bestFit="1" customWidth="1"/>
    <col min="3" max="4" width="18" style="2" hidden="1" customWidth="1"/>
    <col min="5" max="8" width="18" style="2" bestFit="1" customWidth="1"/>
    <col min="9" max="9" width="48.42578125" style="2" customWidth="1"/>
    <col min="10" max="14" width="11.42578125" style="2"/>
    <col min="15" max="15" width="12.28515625" style="2" bestFit="1" customWidth="1"/>
    <col min="16" max="16384" width="11.42578125" style="2"/>
  </cols>
  <sheetData>
    <row r="1" spans="2:8" ht="26.25" x14ac:dyDescent="0.4">
      <c r="B1" s="4" t="s">
        <v>16</v>
      </c>
    </row>
    <row r="4" spans="2:8" ht="26.25" x14ac:dyDescent="0.4">
      <c r="B4" s="4" t="s">
        <v>17</v>
      </c>
    </row>
    <row r="14" spans="2:8" ht="18.75" x14ac:dyDescent="0.3">
      <c r="B14" s="90" t="s">
        <v>132</v>
      </c>
      <c r="C14" s="71">
        <f>'Inductores de Rentabilidad'!C$12</f>
        <v>2015</v>
      </c>
      <c r="D14" s="71">
        <f>'Inductores de Rentabilidad'!D$12</f>
        <v>2016</v>
      </c>
      <c r="E14" s="71">
        <f>'Inductores de Rentabilidad'!E$12</f>
        <v>2017</v>
      </c>
      <c r="F14" s="71">
        <f>'Inductores de Rentabilidad'!F$12</f>
        <v>2018</v>
      </c>
      <c r="G14" s="71">
        <f>'Inductores de Rentabilidad'!G$12</f>
        <v>2019</v>
      </c>
      <c r="H14" s="26"/>
    </row>
    <row r="15" spans="2:8" ht="18.75" x14ac:dyDescent="0.3">
      <c r="B15" s="29" t="s">
        <v>137</v>
      </c>
      <c r="C15" s="28">
        <f>+'Estados Financieros'!C70</f>
        <v>1734682</v>
      </c>
      <c r="D15" s="28">
        <f>+'Estados Financieros'!D70</f>
        <v>-2646053</v>
      </c>
      <c r="E15" s="28">
        <f>+'Estados Financieros'!E70</f>
        <v>389919</v>
      </c>
      <c r="F15" s="28">
        <f>+'Estados Financieros'!F70</f>
        <v>1234779</v>
      </c>
      <c r="G15" s="28">
        <f>+'Estados Financieros'!G70</f>
        <v>1912723</v>
      </c>
      <c r="H15" s="26"/>
    </row>
    <row r="16" spans="2:8" ht="18.75" x14ac:dyDescent="0.3">
      <c r="B16" s="29" t="s">
        <v>130</v>
      </c>
      <c r="C16" s="28">
        <f>+'Estados Financieros'!C69</f>
        <v>1602245</v>
      </c>
      <c r="D16" s="28">
        <f>+'Estados Financieros'!D69</f>
        <v>162667</v>
      </c>
      <c r="E16" s="28">
        <f>+'Estados Financieros'!E69</f>
        <v>-184402</v>
      </c>
      <c r="F16" s="28">
        <f>+'Estados Financieros'!F69</f>
        <v>300483</v>
      </c>
      <c r="G16" s="28">
        <f>+'Estados Financieros'!G69</f>
        <v>1148822</v>
      </c>
      <c r="H16" s="26"/>
    </row>
    <row r="17" spans="2:8" ht="18.75" x14ac:dyDescent="0.3">
      <c r="B17" s="29" t="s">
        <v>131</v>
      </c>
      <c r="C17" s="28">
        <f>+'Estados Financieros'!C67</f>
        <v>6624280</v>
      </c>
      <c r="D17" s="28">
        <f>+'Estados Financieros'!D67</f>
        <v>6229530</v>
      </c>
      <c r="E17" s="28">
        <f>+'Estados Financieros'!E67</f>
        <v>1459144</v>
      </c>
      <c r="F17" s="28">
        <f>+'Estados Financieros'!F67</f>
        <v>296887</v>
      </c>
      <c r="G17" s="28">
        <f>+'Estados Financieros'!G67</f>
        <v>530857</v>
      </c>
      <c r="H17" s="26"/>
    </row>
    <row r="18" spans="2:8" ht="18.75" x14ac:dyDescent="0.3">
      <c r="B18" s="72" t="s">
        <v>133</v>
      </c>
      <c r="C18" s="30">
        <f>+C15+C16+C17</f>
        <v>9961207</v>
      </c>
      <c r="D18" s="30">
        <f t="shared" ref="D18:G18" si="0">+D15+D16+D17</f>
        <v>3746144</v>
      </c>
      <c r="E18" s="30">
        <f t="shared" si="0"/>
        <v>1664661</v>
      </c>
      <c r="F18" s="30">
        <f t="shared" si="0"/>
        <v>1832149</v>
      </c>
      <c r="G18" s="30">
        <f t="shared" si="0"/>
        <v>3592402</v>
      </c>
      <c r="H18" s="26"/>
    </row>
    <row r="19" spans="2:8" ht="18.75" x14ac:dyDescent="0.3">
      <c r="B19" s="29" t="s">
        <v>135</v>
      </c>
      <c r="C19" s="28">
        <f>+'Estados Financieros'!C76</f>
        <v>3362885</v>
      </c>
      <c r="D19" s="28">
        <f>+'Estados Financieros'!D76</f>
        <v>3846401</v>
      </c>
      <c r="E19" s="28">
        <f>+'Estados Financieros'!E76</f>
        <v>4254198</v>
      </c>
      <c r="F19" s="28">
        <f>+'Estados Financieros'!F76</f>
        <v>4496319</v>
      </c>
      <c r="G19" s="28">
        <f>+'Estados Financieros'!G76</f>
        <v>4695706</v>
      </c>
      <c r="H19" s="26"/>
    </row>
    <row r="20" spans="2:8" ht="18.75" x14ac:dyDescent="0.3">
      <c r="B20" s="29" t="s">
        <v>136</v>
      </c>
      <c r="C20" s="28">
        <f>+'Estados Financieros'!C77</f>
        <v>51911</v>
      </c>
      <c r="D20" s="28">
        <f>+'Estados Financieros'!D77</f>
        <v>59385</v>
      </c>
      <c r="E20" s="28">
        <f>+'Estados Financieros'!E77</f>
        <v>65795</v>
      </c>
      <c r="F20" s="28">
        <f>+'Estados Financieros'!F77</f>
        <v>77122</v>
      </c>
      <c r="G20" s="28">
        <f>+'Estados Financieros'!G77</f>
        <v>89281</v>
      </c>
      <c r="H20" s="73" t="s">
        <v>2</v>
      </c>
    </row>
    <row r="21" spans="2:8" ht="18.75" x14ac:dyDescent="0.3">
      <c r="B21" s="72" t="s">
        <v>138</v>
      </c>
      <c r="C21" s="30">
        <f>+C18+C19+C20</f>
        <v>13376003</v>
      </c>
      <c r="D21" s="30">
        <f t="shared" ref="D21:G21" si="1">+D18+D19+D20</f>
        <v>7651930</v>
      </c>
      <c r="E21" s="30">
        <f t="shared" si="1"/>
        <v>5984654</v>
      </c>
      <c r="F21" s="30">
        <f t="shared" si="1"/>
        <v>6405590</v>
      </c>
      <c r="G21" s="30">
        <f t="shared" si="1"/>
        <v>8377389</v>
      </c>
      <c r="H21" s="107">
        <f>AVERAGE(C21:G21)</f>
        <v>8359113.2000000002</v>
      </c>
    </row>
    <row r="22" spans="2:8" ht="18.75" x14ac:dyDescent="0.3">
      <c r="B22" s="74"/>
      <c r="C22" s="26"/>
      <c r="D22" s="26"/>
      <c r="E22" s="26"/>
      <c r="F22" s="26"/>
      <c r="G22" s="26"/>
      <c r="H22" s="26"/>
    </row>
    <row r="23" spans="2:8" ht="18.75" x14ac:dyDescent="0.3">
      <c r="B23" s="74"/>
      <c r="C23" s="26"/>
      <c r="D23" s="26"/>
      <c r="E23" s="26"/>
      <c r="F23" s="26"/>
      <c r="G23" s="26"/>
      <c r="H23" s="26"/>
    </row>
    <row r="24" spans="2:8" ht="18.75" x14ac:dyDescent="0.3">
      <c r="B24" s="90" t="s">
        <v>139</v>
      </c>
      <c r="C24" s="71">
        <f>'Inductores de Rentabilidad'!C$12</f>
        <v>2015</v>
      </c>
      <c r="D24" s="71">
        <f>'Inductores de Rentabilidad'!D$12</f>
        <v>2016</v>
      </c>
      <c r="E24" s="71">
        <f>'Inductores de Rentabilidad'!E$12</f>
        <v>2017</v>
      </c>
      <c r="F24" s="71">
        <f>'Inductores de Rentabilidad'!F$12</f>
        <v>2018</v>
      </c>
      <c r="G24" s="71">
        <f>'Inductores de Rentabilidad'!G$12</f>
        <v>2019</v>
      </c>
      <c r="H24" s="26"/>
    </row>
    <row r="25" spans="2:8" ht="18.75" x14ac:dyDescent="0.3">
      <c r="B25" s="29" t="s">
        <v>0</v>
      </c>
      <c r="C25" s="28">
        <f>+'Estados Financieros'!C64</f>
        <v>2098680</v>
      </c>
      <c r="D25" s="28">
        <f>+'Estados Financieros'!D64</f>
        <v>-2438660</v>
      </c>
      <c r="E25" s="28">
        <f>+'Estados Financieros'!E64</f>
        <v>382317</v>
      </c>
      <c r="F25" s="28">
        <f>+'Estados Financieros'!F64</f>
        <v>1768443</v>
      </c>
      <c r="G25" s="28">
        <f>+'Estados Financieros'!G64</f>
        <v>4095035</v>
      </c>
      <c r="H25" s="26"/>
    </row>
    <row r="26" spans="2:8" ht="18.75" x14ac:dyDescent="0.3">
      <c r="B26" s="29" t="s">
        <v>135</v>
      </c>
      <c r="C26" s="28">
        <f>+'Estados Financieros'!C76</f>
        <v>3362885</v>
      </c>
      <c r="D26" s="28">
        <f>+'Estados Financieros'!D76</f>
        <v>3846401</v>
      </c>
      <c r="E26" s="28">
        <f>+'Estados Financieros'!E76</f>
        <v>4254198</v>
      </c>
      <c r="F26" s="28">
        <f>+'Estados Financieros'!F76</f>
        <v>4496319</v>
      </c>
      <c r="G26" s="28">
        <f>+'Estados Financieros'!G76</f>
        <v>4695706</v>
      </c>
      <c r="H26" s="26"/>
    </row>
    <row r="27" spans="2:8" ht="18.75" x14ac:dyDescent="0.3">
      <c r="B27" s="29" t="s">
        <v>136</v>
      </c>
      <c r="C27" s="28">
        <f>+'Estados Financieros'!C77</f>
        <v>51911</v>
      </c>
      <c r="D27" s="28">
        <f>+'Estados Financieros'!D77</f>
        <v>59385</v>
      </c>
      <c r="E27" s="28">
        <f>+'Estados Financieros'!E77</f>
        <v>65795</v>
      </c>
      <c r="F27" s="28">
        <f>+'Estados Financieros'!F77</f>
        <v>77122</v>
      </c>
      <c r="G27" s="28">
        <f>+'Estados Financieros'!G77</f>
        <v>89281</v>
      </c>
      <c r="H27" s="73" t="s">
        <v>2</v>
      </c>
    </row>
    <row r="28" spans="2:8" ht="18.75" x14ac:dyDescent="0.3">
      <c r="B28" s="72" t="s">
        <v>138</v>
      </c>
      <c r="C28" s="30">
        <f>+C25+C26+C27</f>
        <v>5513476</v>
      </c>
      <c r="D28" s="30">
        <f t="shared" ref="D28:G28" si="2">+D25+D26+D27</f>
        <v>1467126</v>
      </c>
      <c r="E28" s="30">
        <f t="shared" si="2"/>
        <v>4702310</v>
      </c>
      <c r="F28" s="30">
        <f t="shared" si="2"/>
        <v>6341884</v>
      </c>
      <c r="G28" s="30">
        <f t="shared" si="2"/>
        <v>8880022</v>
      </c>
      <c r="H28" s="107">
        <f>AVERAGE(C28:G28)</f>
        <v>5380963.5999999996</v>
      </c>
    </row>
    <row r="29" spans="2:8" ht="18.75" x14ac:dyDescent="0.3">
      <c r="B29" s="74"/>
      <c r="C29" s="26"/>
      <c r="D29" s="26"/>
      <c r="E29" s="26"/>
      <c r="F29" s="26"/>
      <c r="G29" s="26"/>
      <c r="H29" s="26"/>
    </row>
    <row r="30" spans="2:8" ht="18.75" x14ac:dyDescent="0.3">
      <c r="B30" s="74"/>
      <c r="C30" s="26"/>
      <c r="D30" s="26"/>
      <c r="E30" s="26"/>
      <c r="F30" s="26"/>
      <c r="G30" s="26"/>
      <c r="H30" s="26"/>
    </row>
    <row r="31" spans="2:8" ht="18.75" x14ac:dyDescent="0.3">
      <c r="B31" s="89"/>
      <c r="C31" s="88"/>
      <c r="D31" s="88"/>
      <c r="E31" s="88"/>
      <c r="F31" s="88"/>
      <c r="G31" s="88"/>
      <c r="H31" s="88"/>
    </row>
    <row r="32" spans="2:8" ht="18.75" x14ac:dyDescent="0.3">
      <c r="B32" s="26"/>
      <c r="C32" s="26"/>
      <c r="D32" s="26"/>
      <c r="E32" s="26"/>
      <c r="F32" s="26"/>
      <c r="G32" s="26"/>
      <c r="H32" s="26"/>
    </row>
    <row r="33" spans="2:8" ht="18.75" x14ac:dyDescent="0.3">
      <c r="B33" s="90" t="s">
        <v>139</v>
      </c>
      <c r="C33" s="71">
        <f>C14</f>
        <v>2015</v>
      </c>
      <c r="D33" s="71">
        <f>D14</f>
        <v>2016</v>
      </c>
      <c r="E33" s="71">
        <f>E14</f>
        <v>2017</v>
      </c>
      <c r="F33" s="71">
        <f>F14</f>
        <v>2018</v>
      </c>
      <c r="G33" s="71">
        <f>G14</f>
        <v>2019</v>
      </c>
      <c r="H33" s="26"/>
    </row>
    <row r="34" spans="2:8" ht="18.75" x14ac:dyDescent="0.3">
      <c r="B34" s="75" t="s">
        <v>18</v>
      </c>
      <c r="C34" s="28">
        <f>+'Estados Financieros'!C58</f>
        <v>38715485</v>
      </c>
      <c r="D34" s="28">
        <f>+'Estados Financieros'!D58</f>
        <v>28632157</v>
      </c>
      <c r="E34" s="28">
        <f>+'Estados Financieros'!E58</f>
        <v>35125738</v>
      </c>
      <c r="F34" s="28">
        <f>+'Estados Financieros'!F58</f>
        <v>41528969</v>
      </c>
      <c r="G34" s="28">
        <f>+'Estados Financieros'!G58</f>
        <v>47339770</v>
      </c>
      <c r="H34" s="26"/>
    </row>
    <row r="35" spans="2:8" ht="18.75" x14ac:dyDescent="0.3">
      <c r="B35" s="75" t="s">
        <v>1</v>
      </c>
      <c r="C35" s="28">
        <f>+C28</f>
        <v>5513476</v>
      </c>
      <c r="D35" s="28">
        <f t="shared" ref="D35:G35" si="3">+D28</f>
        <v>1467126</v>
      </c>
      <c r="E35" s="28">
        <f t="shared" si="3"/>
        <v>4702310</v>
      </c>
      <c r="F35" s="28">
        <f t="shared" si="3"/>
        <v>6341884</v>
      </c>
      <c r="G35" s="28">
        <f t="shared" si="3"/>
        <v>8880022</v>
      </c>
      <c r="H35" s="73" t="s">
        <v>2</v>
      </c>
    </row>
    <row r="36" spans="2:8" ht="18.75" x14ac:dyDescent="0.3">
      <c r="B36" s="72" t="s">
        <v>17</v>
      </c>
      <c r="C36" s="67">
        <f>+C35/C34</f>
        <v>0.14241009766505572</v>
      </c>
      <c r="D36" s="67">
        <f t="shared" ref="D36:G36" si="4">+D35/D34</f>
        <v>5.1240498576478187E-2</v>
      </c>
      <c r="E36" s="67">
        <f t="shared" si="4"/>
        <v>0.13387078159041099</v>
      </c>
      <c r="F36" s="67">
        <f t="shared" si="4"/>
        <v>0.15270988306981567</v>
      </c>
      <c r="G36" s="67">
        <f t="shared" si="4"/>
        <v>0.18758059027325227</v>
      </c>
      <c r="H36" s="116">
        <f>AVERAGE(C36:G36)</f>
        <v>0.13356237023500256</v>
      </c>
    </row>
    <row r="37" spans="2:8" ht="18.75" x14ac:dyDescent="0.25">
      <c r="H37" s="73" t="s">
        <v>2</v>
      </c>
    </row>
    <row r="38" spans="2:8" ht="18.75" x14ac:dyDescent="0.3">
      <c r="B38" s="90" t="s">
        <v>132</v>
      </c>
      <c r="C38" s="67">
        <f>+C21/C34</f>
        <v>0.34549490985325382</v>
      </c>
      <c r="D38" s="67">
        <f t="shared" ref="D38:G38" si="5">+D21/D34</f>
        <v>0.26724951249743428</v>
      </c>
      <c r="E38" s="67">
        <f t="shared" si="5"/>
        <v>0.1703780287833383</v>
      </c>
      <c r="F38" s="67">
        <f t="shared" si="5"/>
        <v>0.15424389659179838</v>
      </c>
      <c r="G38" s="67">
        <f t="shared" si="5"/>
        <v>0.17696302707005124</v>
      </c>
      <c r="H38" s="70"/>
    </row>
    <row r="39" spans="2:8" ht="26.25" x14ac:dyDescent="0.4">
      <c r="B39" s="4" t="s">
        <v>25</v>
      </c>
    </row>
    <row r="55" spans="2:15" ht="26.25" x14ac:dyDescent="0.4">
      <c r="B55" s="4" t="s">
        <v>19</v>
      </c>
    </row>
    <row r="61" spans="2:15" x14ac:dyDescent="0.25">
      <c r="O61" s="109"/>
    </row>
    <row r="62" spans="2:15" x14ac:dyDescent="0.25">
      <c r="I62" s="109"/>
      <c r="O62" s="103"/>
    </row>
    <row r="63" spans="2:15" x14ac:dyDescent="0.25">
      <c r="O63" s="103"/>
    </row>
    <row r="64" spans="2:15" ht="18.75" x14ac:dyDescent="0.3">
      <c r="B64" s="26"/>
      <c r="C64" s="72">
        <f>C33</f>
        <v>2015</v>
      </c>
      <c r="D64" s="72">
        <f>D33</f>
        <v>2016</v>
      </c>
      <c r="E64" s="72">
        <f>E33</f>
        <v>2017</v>
      </c>
      <c r="F64" s="72">
        <f>F33</f>
        <v>2018</v>
      </c>
      <c r="G64" s="72">
        <f>G33</f>
        <v>2019</v>
      </c>
      <c r="H64" s="26"/>
      <c r="K64" s="1"/>
      <c r="O64" s="103"/>
    </row>
    <row r="65" spans="2:15" ht="18.75" x14ac:dyDescent="0.3">
      <c r="B65" s="75" t="s">
        <v>20</v>
      </c>
      <c r="C65" s="28">
        <f>+'Estados Financieros'!C14</f>
        <v>14421502</v>
      </c>
      <c r="D65" s="28">
        <f>+'Estados Financieros'!D14</f>
        <v>5024392</v>
      </c>
      <c r="E65" s="28">
        <f>+'Estados Financieros'!E14</f>
        <v>4818344</v>
      </c>
      <c r="F65" s="28">
        <f>+'Estados Financieros'!F14</f>
        <v>7030714</v>
      </c>
      <c r="G65" s="28">
        <f>+'Estados Financieros'!G14</f>
        <v>7468543</v>
      </c>
      <c r="H65" s="26"/>
      <c r="O65" s="103"/>
    </row>
    <row r="66" spans="2:15" ht="18.75" x14ac:dyDescent="0.3">
      <c r="B66" s="75" t="s">
        <v>21</v>
      </c>
      <c r="C66" s="28">
        <f>+'Estados Financieros'!C15</f>
        <v>4618740</v>
      </c>
      <c r="D66" s="28">
        <f>+'Estados Financieros'!D15</f>
        <v>5719287</v>
      </c>
      <c r="E66" s="28">
        <f>+'Estados Financieros'!E15</f>
        <v>6520213</v>
      </c>
      <c r="F66" s="28">
        <f>+'Estados Financieros'!F15</f>
        <v>5035879</v>
      </c>
      <c r="G66" s="28">
        <f>+'Estados Financieros'!G15</f>
        <v>7698465</v>
      </c>
      <c r="H66" s="26"/>
      <c r="O66" s="110"/>
    </row>
    <row r="67" spans="2:15" ht="18.75" x14ac:dyDescent="0.3">
      <c r="B67" s="75" t="s">
        <v>22</v>
      </c>
      <c r="C67" s="76">
        <f>+'Estados Financieros'!C31</f>
        <v>4150120</v>
      </c>
      <c r="D67" s="76">
        <f>+'Estados Financieros'!D31</f>
        <v>3690546</v>
      </c>
      <c r="E67" s="76">
        <f>+'Estados Financieros'!E31</f>
        <v>4623497</v>
      </c>
      <c r="F67" s="76">
        <f>+'Estados Financieros'!F31</f>
        <v>8431694</v>
      </c>
      <c r="G67" s="76">
        <f>+'Estados Financieros'!G31</f>
        <v>8777872</v>
      </c>
      <c r="H67" s="77" t="s">
        <v>2</v>
      </c>
    </row>
    <row r="68" spans="2:15" ht="18.75" x14ac:dyDescent="0.3">
      <c r="B68" s="78" t="s">
        <v>23</v>
      </c>
      <c r="C68" s="79">
        <f>+C65+C66-C67</f>
        <v>14890122</v>
      </c>
      <c r="D68" s="79">
        <f t="shared" ref="D68:G68" si="6">+D65+D66-D67</f>
        <v>7053133</v>
      </c>
      <c r="E68" s="79">
        <f t="shared" si="6"/>
        <v>6715060</v>
      </c>
      <c r="F68" s="79">
        <f t="shared" si="6"/>
        <v>3634899</v>
      </c>
      <c r="G68" s="79">
        <f t="shared" si="6"/>
        <v>6389136</v>
      </c>
      <c r="H68" s="79">
        <f>AVERAGE(C68:G68)</f>
        <v>7736470</v>
      </c>
    </row>
    <row r="69" spans="2:15" ht="18.75" x14ac:dyDescent="0.3">
      <c r="B69" s="26"/>
      <c r="C69" s="26"/>
      <c r="D69" s="26"/>
      <c r="E69" s="26"/>
      <c r="F69" s="26"/>
      <c r="G69" s="26"/>
      <c r="H69" s="26"/>
    </row>
    <row r="70" spans="2:15" ht="18.75" x14ac:dyDescent="0.3">
      <c r="B70" s="76" t="s">
        <v>149</v>
      </c>
      <c r="C70" s="76">
        <f>+C67*-1</f>
        <v>-4150120</v>
      </c>
      <c r="D70" s="76">
        <f t="shared" ref="D70:G70" si="7">+D67*-1</f>
        <v>-3690546</v>
      </c>
      <c r="E70" s="76">
        <f t="shared" si="7"/>
        <v>-4623497</v>
      </c>
      <c r="F70" s="76">
        <f t="shared" si="7"/>
        <v>-8431694</v>
      </c>
      <c r="G70" s="76">
        <f t="shared" si="7"/>
        <v>-8777872</v>
      </c>
      <c r="H70" s="26"/>
    </row>
    <row r="71" spans="2:15" ht="18.75" x14ac:dyDescent="0.3">
      <c r="B71" s="26"/>
      <c r="C71" s="26"/>
      <c r="D71" s="26"/>
      <c r="E71" s="26"/>
      <c r="F71" s="26"/>
      <c r="G71" s="26"/>
      <c r="H71" s="26"/>
    </row>
    <row r="72" spans="2:15" ht="18.75" x14ac:dyDescent="0.3">
      <c r="B72" s="26"/>
      <c r="C72" s="26"/>
      <c r="D72" s="26"/>
      <c r="E72" s="26"/>
      <c r="F72" s="26"/>
      <c r="G72" s="26"/>
      <c r="H72" s="26"/>
    </row>
    <row r="73" spans="2:15" ht="18.75" x14ac:dyDescent="0.3">
      <c r="B73" s="26"/>
      <c r="C73" s="72">
        <f t="shared" ref="C73:G73" si="8">C64</f>
        <v>2015</v>
      </c>
      <c r="D73" s="72">
        <f t="shared" si="8"/>
        <v>2016</v>
      </c>
      <c r="E73" s="72">
        <f t="shared" si="8"/>
        <v>2017</v>
      </c>
      <c r="F73" s="72">
        <f t="shared" si="8"/>
        <v>2018</v>
      </c>
      <c r="G73" s="72">
        <f t="shared" si="8"/>
        <v>2019</v>
      </c>
      <c r="H73" s="26"/>
    </row>
    <row r="74" spans="2:15" ht="18.75" x14ac:dyDescent="0.3">
      <c r="B74" s="75" t="s">
        <v>18</v>
      </c>
      <c r="C74" s="28">
        <f>+C34</f>
        <v>38715485</v>
      </c>
      <c r="D74" s="28">
        <f t="shared" ref="D74:G74" si="9">+D34</f>
        <v>28632157</v>
      </c>
      <c r="E74" s="28">
        <f t="shared" si="9"/>
        <v>35125738</v>
      </c>
      <c r="F74" s="28">
        <f t="shared" si="9"/>
        <v>41528969</v>
      </c>
      <c r="G74" s="28">
        <f t="shared" si="9"/>
        <v>47339770</v>
      </c>
      <c r="H74" s="26"/>
    </row>
    <row r="75" spans="2:15" ht="18.75" x14ac:dyDescent="0.3">
      <c r="B75" s="75" t="s">
        <v>23</v>
      </c>
      <c r="C75" s="80">
        <f>+C68</f>
        <v>14890122</v>
      </c>
      <c r="D75" s="80">
        <f t="shared" ref="D75:G75" si="10">+D68</f>
        <v>7053133</v>
      </c>
      <c r="E75" s="80">
        <f t="shared" si="10"/>
        <v>6715060</v>
      </c>
      <c r="F75" s="80">
        <f t="shared" si="10"/>
        <v>3634899</v>
      </c>
      <c r="G75" s="80">
        <f t="shared" si="10"/>
        <v>6389136</v>
      </c>
      <c r="H75" s="77" t="s">
        <v>2</v>
      </c>
    </row>
    <row r="76" spans="2:15" ht="18.75" x14ac:dyDescent="0.3">
      <c r="B76" s="78" t="s">
        <v>74</v>
      </c>
      <c r="C76" s="81">
        <f>+C75/C74</f>
        <v>0.3846037832149074</v>
      </c>
      <c r="D76" s="81">
        <f t="shared" ref="D76:G76" si="11">+D75/D74</f>
        <v>0.24633606891719684</v>
      </c>
      <c r="E76" s="81">
        <f t="shared" si="11"/>
        <v>0.19117206875482587</v>
      </c>
      <c r="F76" s="81">
        <f t="shared" si="11"/>
        <v>8.7526829765506575E-2</v>
      </c>
      <c r="G76" s="81">
        <f t="shared" si="11"/>
        <v>0.13496339335826937</v>
      </c>
      <c r="H76" s="81">
        <f>AVERAGE(C76:G76)</f>
        <v>0.20892042880214121</v>
      </c>
      <c r="I76" s="2" t="s">
        <v>156</v>
      </c>
    </row>
    <row r="77" spans="2:15" ht="18.75" x14ac:dyDescent="0.3">
      <c r="B77" s="78" t="s">
        <v>75</v>
      </c>
      <c r="C77" s="82">
        <f>+C76</f>
        <v>0.3846037832149074</v>
      </c>
      <c r="D77" s="82">
        <f t="shared" ref="D77:G77" si="12">+D76</f>
        <v>0.24633606891719684</v>
      </c>
      <c r="E77" s="82">
        <f t="shared" si="12"/>
        <v>0.19117206875482587</v>
      </c>
      <c r="F77" s="82">
        <f t="shared" si="12"/>
        <v>8.7526829765506575E-2</v>
      </c>
      <c r="G77" s="82">
        <f t="shared" si="12"/>
        <v>0.13496339335826937</v>
      </c>
      <c r="H77" s="117">
        <f>AVERAGE(C77:G77)</f>
        <v>0.20892042880214121</v>
      </c>
      <c r="I77" s="2" t="s">
        <v>157</v>
      </c>
    </row>
    <row r="81" spans="2:9" ht="26.25" x14ac:dyDescent="0.4">
      <c r="B81" s="4" t="s">
        <v>28</v>
      </c>
    </row>
    <row r="89" spans="2:9" ht="18.75" x14ac:dyDescent="0.3">
      <c r="B89" s="26"/>
      <c r="C89" s="72">
        <f>C73</f>
        <v>2015</v>
      </c>
      <c r="D89" s="72">
        <f>D73</f>
        <v>2016</v>
      </c>
      <c r="E89" s="72">
        <f>E73</f>
        <v>2017</v>
      </c>
      <c r="F89" s="72">
        <f>F73</f>
        <v>2018</v>
      </c>
      <c r="G89" s="72">
        <f>G73</f>
        <v>2019</v>
      </c>
      <c r="H89" s="26"/>
    </row>
    <row r="90" spans="2:9" ht="18.75" x14ac:dyDescent="0.3">
      <c r="B90" s="75" t="s">
        <v>18</v>
      </c>
      <c r="C90" s="28">
        <f>+C74</f>
        <v>38715485</v>
      </c>
      <c r="D90" s="28">
        <f t="shared" ref="D90:G90" si="13">+D74</f>
        <v>28632157</v>
      </c>
      <c r="E90" s="28">
        <f t="shared" si="13"/>
        <v>35125738</v>
      </c>
      <c r="F90" s="28">
        <f t="shared" si="13"/>
        <v>41528969</v>
      </c>
      <c r="G90" s="28">
        <f t="shared" si="13"/>
        <v>47339770</v>
      </c>
      <c r="H90" s="26"/>
    </row>
    <row r="91" spans="2:9" ht="18.75" x14ac:dyDescent="0.3">
      <c r="B91" s="75" t="s">
        <v>26</v>
      </c>
      <c r="C91" s="80">
        <f>+'Estados Financieros'!C22</f>
        <v>2026164</v>
      </c>
      <c r="D91" s="80">
        <f>+'Estados Financieros'!D22</f>
        <v>2015598</v>
      </c>
      <c r="E91" s="80">
        <f>+'Estados Financieros'!E22</f>
        <v>1674573</v>
      </c>
      <c r="F91" s="80">
        <f>+'Estados Financieros'!F22</f>
        <v>1860558</v>
      </c>
      <c r="G91" s="80">
        <f>+'Estados Financieros'!G22</f>
        <v>2257287</v>
      </c>
      <c r="H91" s="77" t="s">
        <v>2</v>
      </c>
    </row>
    <row r="92" spans="2:9" ht="18.75" x14ac:dyDescent="0.3">
      <c r="B92" s="78" t="s">
        <v>27</v>
      </c>
      <c r="C92" s="83">
        <f>+C90/C91</f>
        <v>19.107774592777286</v>
      </c>
      <c r="D92" s="83">
        <f t="shared" ref="D92:G92" si="14">+D90/D91</f>
        <v>14.205291432120889</v>
      </c>
      <c r="E92" s="83">
        <f t="shared" si="14"/>
        <v>20.975937149350909</v>
      </c>
      <c r="F92" s="83">
        <f t="shared" si="14"/>
        <v>22.320706476229173</v>
      </c>
      <c r="G92" s="83">
        <f t="shared" si="14"/>
        <v>20.971976536435111</v>
      </c>
      <c r="H92" s="84">
        <f>AVERAGE(C92:G92)</f>
        <v>19.516337237382675</v>
      </c>
      <c r="I92" s="2" t="s">
        <v>158</v>
      </c>
    </row>
    <row r="97" spans="2:8" ht="26.25" x14ac:dyDescent="0.4">
      <c r="B97" s="4" t="s">
        <v>29</v>
      </c>
    </row>
    <row r="107" spans="2:8" ht="18.75" x14ac:dyDescent="0.3">
      <c r="B107" s="26"/>
      <c r="C107" s="27">
        <f t="shared" ref="C107:G107" si="15">C89</f>
        <v>2015</v>
      </c>
      <c r="D107" s="27">
        <f t="shared" si="15"/>
        <v>2016</v>
      </c>
      <c r="E107" s="27">
        <f t="shared" si="15"/>
        <v>2017</v>
      </c>
      <c r="F107" s="27">
        <f t="shared" si="15"/>
        <v>2018</v>
      </c>
      <c r="G107" s="27">
        <f t="shared" si="15"/>
        <v>2019</v>
      </c>
      <c r="H107" s="26"/>
    </row>
    <row r="108" spans="2:8" ht="18.75" x14ac:dyDescent="0.3">
      <c r="B108" s="75" t="s">
        <v>17</v>
      </c>
      <c r="C108" s="67">
        <f>+C36</f>
        <v>0.14241009766505572</v>
      </c>
      <c r="D108" s="67">
        <f t="shared" ref="D108:G108" si="16">+D36</f>
        <v>5.1240498576478187E-2</v>
      </c>
      <c r="E108" s="67">
        <f t="shared" si="16"/>
        <v>0.13387078159041099</v>
      </c>
      <c r="F108" s="67">
        <f t="shared" si="16"/>
        <v>0.15270988306981567</v>
      </c>
      <c r="G108" s="67">
        <f t="shared" si="16"/>
        <v>0.18758059027325227</v>
      </c>
      <c r="H108" s="26"/>
    </row>
    <row r="109" spans="2:8" ht="18.75" x14ac:dyDescent="0.3">
      <c r="B109" s="75" t="s">
        <v>24</v>
      </c>
      <c r="C109" s="85">
        <f>+C76</f>
        <v>0.3846037832149074</v>
      </c>
      <c r="D109" s="85">
        <f t="shared" ref="D109:G109" si="17">+D76</f>
        <v>0.24633606891719684</v>
      </c>
      <c r="E109" s="85">
        <f t="shared" si="17"/>
        <v>0.19117206875482587</v>
      </c>
      <c r="F109" s="85">
        <f t="shared" si="17"/>
        <v>8.7526829765506575E-2</v>
      </c>
      <c r="G109" s="85">
        <f t="shared" si="17"/>
        <v>0.13496339335826937</v>
      </c>
      <c r="H109" s="77" t="s">
        <v>2</v>
      </c>
    </row>
    <row r="110" spans="2:8" ht="18.75" x14ac:dyDescent="0.3">
      <c r="B110" s="78" t="s">
        <v>30</v>
      </c>
      <c r="C110" s="83">
        <f>+C108/C109</f>
        <v>0.37027742284448711</v>
      </c>
      <c r="D110" s="83">
        <f t="shared" ref="D110:G110" si="18">+D108/D109</f>
        <v>0.20801053942978248</v>
      </c>
      <c r="E110" s="83">
        <f t="shared" si="18"/>
        <v>0.70026328878669741</v>
      </c>
      <c r="F110" s="83">
        <f t="shared" si="18"/>
        <v>1.7447208299322761</v>
      </c>
      <c r="G110" s="83">
        <f t="shared" si="18"/>
        <v>1.3898627294832979</v>
      </c>
      <c r="H110" s="84">
        <f>AVERAGE(C110:G110)</f>
        <v>0.88262696209530811</v>
      </c>
    </row>
    <row r="114" spans="6:9" x14ac:dyDescent="0.25">
      <c r="F114" s="2" t="s">
        <v>161</v>
      </c>
      <c r="G114" s="1" t="s">
        <v>17</v>
      </c>
      <c r="H114" s="2" t="s">
        <v>24</v>
      </c>
      <c r="I114" s="130" t="s">
        <v>163</v>
      </c>
    </row>
    <row r="115" spans="6:9" x14ac:dyDescent="0.25">
      <c r="G115" s="2" t="s">
        <v>18</v>
      </c>
      <c r="H115" s="2" t="s">
        <v>162</v>
      </c>
      <c r="I115" s="130"/>
    </row>
    <row r="116" spans="6:9" x14ac:dyDescent="0.25">
      <c r="G116" s="2" t="s">
        <v>159</v>
      </c>
      <c r="H116" s="2" t="s">
        <v>87</v>
      </c>
      <c r="I116" s="130"/>
    </row>
    <row r="117" spans="6:9" x14ac:dyDescent="0.25">
      <c r="G117" s="2" t="s">
        <v>160</v>
      </c>
      <c r="H117" s="2" t="s">
        <v>99</v>
      </c>
      <c r="I117" s="130"/>
    </row>
  </sheetData>
  <mergeCells count="1">
    <mergeCell ref="I114:I11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zoomScale="80" zoomScaleNormal="80" workbookViewId="0">
      <selection activeCell="B2" sqref="B2"/>
    </sheetView>
  </sheetViews>
  <sheetFormatPr baseColWidth="10" defaultRowHeight="15" x14ac:dyDescent="0.25"/>
  <cols>
    <col min="1" max="1" width="60.85546875" style="2" customWidth="1"/>
    <col min="2" max="2" width="43.7109375" style="2" bestFit="1" customWidth="1"/>
    <col min="3" max="3" width="18.42578125" style="2" customWidth="1"/>
    <col min="4" max="5" width="15.7109375" style="2" customWidth="1"/>
    <col min="6" max="6" width="15.140625" style="2" customWidth="1"/>
    <col min="7" max="7" width="15" style="2" customWidth="1"/>
    <col min="8" max="8" width="63.140625" style="2" bestFit="1" customWidth="1"/>
    <col min="9" max="16384" width="11.42578125" style="2"/>
  </cols>
  <sheetData>
    <row r="2" spans="2:8" ht="26.25" x14ac:dyDescent="0.4">
      <c r="C2" s="4" t="s">
        <v>71</v>
      </c>
    </row>
    <row r="3" spans="2:8" ht="15.75" thickBot="1" x14ac:dyDescent="0.3"/>
    <row r="4" spans="2:8" ht="19.5" thickBot="1" x14ac:dyDescent="0.35">
      <c r="B4" s="131" t="s">
        <v>72</v>
      </c>
      <c r="C4" s="132"/>
      <c r="D4" s="132"/>
      <c r="E4" s="132"/>
      <c r="F4" s="132"/>
      <c r="G4" s="133"/>
    </row>
    <row r="5" spans="2:8" ht="15.75" thickBot="1" x14ac:dyDescent="0.3">
      <c r="B5" s="17" t="s">
        <v>33</v>
      </c>
      <c r="C5" s="18">
        <f>'Flujo de Caja'!C4</f>
        <v>2015</v>
      </c>
      <c r="D5" s="18">
        <f>'Flujo de Caja'!D4</f>
        <v>2016</v>
      </c>
      <c r="E5" s="18">
        <f>'Flujo de Caja'!E4</f>
        <v>2017</v>
      </c>
      <c r="F5" s="18">
        <f>'Flujo de Caja'!F4</f>
        <v>2018</v>
      </c>
      <c r="G5" s="18">
        <f>'Flujo de Caja'!G4</f>
        <v>2019</v>
      </c>
    </row>
    <row r="6" spans="2:8" ht="15.75" thickBot="1" x14ac:dyDescent="0.3">
      <c r="B6" s="59" t="s">
        <v>34</v>
      </c>
      <c r="C6" s="9"/>
      <c r="D6" s="9"/>
      <c r="E6" s="9"/>
      <c r="F6" s="9"/>
      <c r="G6" s="9"/>
    </row>
    <row r="7" spans="2:8" x14ac:dyDescent="0.25">
      <c r="B7" s="10" t="s">
        <v>35</v>
      </c>
      <c r="C7" s="11">
        <f>+'Estados Financieros'!C61/'Estados Financieros'!C58</f>
        <v>0.13456904905104508</v>
      </c>
      <c r="D7" s="11">
        <f>+'Estados Financieros'!D61/'Estados Financieros'!D58</f>
        <v>1.8549702699660386E-2</v>
      </c>
      <c r="E7" s="11">
        <f>+'Estados Financieros'!E61/'Estados Financieros'!E58</f>
        <v>9.0121779078349895E-2</v>
      </c>
      <c r="F7" s="11">
        <f>+'Estados Financieros'!F61/'Estados Financieros'!F58</f>
        <v>0.1120500487262277</v>
      </c>
      <c r="G7" s="11">
        <f>+'Estados Financieros'!G61/'Estados Financieros'!G58</f>
        <v>0.16470160290174624</v>
      </c>
      <c r="H7" s="9" t="s">
        <v>36</v>
      </c>
    </row>
    <row r="8" spans="2:8" x14ac:dyDescent="0.25">
      <c r="B8" s="10" t="s">
        <v>37</v>
      </c>
      <c r="C8" s="11">
        <f>+'Estados Financieros'!C64/'Estados Financieros'!C58</f>
        <v>5.4207767253852041E-2</v>
      </c>
      <c r="D8" s="11">
        <f>+'Estados Financieros'!D64/'Estados Financieros'!D58</f>
        <v>-8.5172067197033047E-2</v>
      </c>
      <c r="E8" s="11">
        <f>+'Estados Financieros'!E64/'Estados Financieros'!E58</f>
        <v>1.088424106562544E-2</v>
      </c>
      <c r="F8" s="11">
        <f>+'Estados Financieros'!F64/'Estados Financieros'!F58</f>
        <v>4.2583359100487182E-2</v>
      </c>
      <c r="G8" s="11">
        <f>+'Estados Financieros'!G64/'Estados Financieros'!G58</f>
        <v>8.6503060745753521E-2</v>
      </c>
      <c r="H8" s="10" t="s">
        <v>38</v>
      </c>
    </row>
    <row r="9" spans="2:8" x14ac:dyDescent="0.25">
      <c r="B9" s="10" t="s">
        <v>39</v>
      </c>
      <c r="C9" s="11">
        <f>+'Estados Financieros'!C70/'Estados Financieros'!C58</f>
        <v>4.4805896142073386E-2</v>
      </c>
      <c r="D9" s="11">
        <f>+'Estados Financieros'!D70/'Estados Financieros'!D58</f>
        <v>-9.2415426473108533E-2</v>
      </c>
      <c r="E9" s="11">
        <f>+'Estados Financieros'!E70/'Estados Financieros'!E58</f>
        <v>1.1100663564705744E-2</v>
      </c>
      <c r="F9" s="11">
        <f>+'Estados Financieros'!F70/'Estados Financieros'!F58</f>
        <v>2.973295580730646E-2</v>
      </c>
      <c r="G9" s="11">
        <f>+'Estados Financieros'!G70/'Estados Financieros'!G58</f>
        <v>4.0404146450225678E-2</v>
      </c>
      <c r="H9" s="10" t="s">
        <v>40</v>
      </c>
    </row>
    <row r="10" spans="2:8" ht="15.75" thickBot="1" x14ac:dyDescent="0.3">
      <c r="B10" s="12" t="s">
        <v>41</v>
      </c>
      <c r="C10" s="13">
        <f>+'Estados Financieros'!C70/'Estados Financieros'!C49</f>
        <v>0.10352273987975195</v>
      </c>
      <c r="D10" s="13">
        <f>+'Estados Financieros'!D70/'Estados Financieros'!D49</f>
        <v>-0.31927728942630546</v>
      </c>
      <c r="E10" s="13">
        <f>+'Estados Financieros'!E70/'Estados Financieros'!E49</f>
        <v>4.4934216470267192E-2</v>
      </c>
      <c r="F10" s="13">
        <f>+'Estados Financieros'!F70/'Estados Financieros'!F49</f>
        <v>0.12785038310209154</v>
      </c>
      <c r="G10" s="13">
        <f>+'Estados Financieros'!G70/'Estados Financieros'!G49</f>
        <v>0.15656966672925995</v>
      </c>
      <c r="H10" s="12" t="s">
        <v>42</v>
      </c>
    </row>
    <row r="11" spans="2:8" x14ac:dyDescent="0.25">
      <c r="B11" s="16"/>
      <c r="C11" s="24"/>
      <c r="D11" s="24"/>
      <c r="E11" s="24"/>
      <c r="F11" s="24"/>
      <c r="G11" s="24"/>
      <c r="H11" s="16"/>
    </row>
    <row r="12" spans="2:8" ht="15.75" thickBot="1" x14ac:dyDescent="0.3">
      <c r="B12" s="16"/>
      <c r="C12" s="24"/>
      <c r="D12" s="24"/>
      <c r="E12" s="24"/>
      <c r="F12" s="24"/>
      <c r="G12" s="24"/>
      <c r="H12" s="16"/>
    </row>
    <row r="13" spans="2:8" ht="19.5" thickBot="1" x14ac:dyDescent="0.35">
      <c r="B13" s="134" t="s">
        <v>72</v>
      </c>
      <c r="C13" s="135"/>
      <c r="D13" s="135"/>
      <c r="E13" s="135"/>
      <c r="F13" s="135"/>
      <c r="G13" s="136"/>
    </row>
    <row r="14" spans="2:8" ht="15.75" thickBot="1" x14ac:dyDescent="0.3">
      <c r="B14" s="59" t="s">
        <v>43</v>
      </c>
      <c r="C14" s="19">
        <f>C5</f>
        <v>2015</v>
      </c>
      <c r="D14" s="19">
        <f>D5</f>
        <v>2016</v>
      </c>
      <c r="E14" s="19">
        <f>E5</f>
        <v>2017</v>
      </c>
      <c r="F14" s="19">
        <f>F5</f>
        <v>2018</v>
      </c>
      <c r="G14" s="19">
        <f>G5</f>
        <v>2019</v>
      </c>
    </row>
    <row r="15" spans="2:8" ht="15.75" thickBot="1" x14ac:dyDescent="0.3">
      <c r="B15" s="10" t="s">
        <v>44</v>
      </c>
      <c r="C15" s="14">
        <f>+'Estados Financieros'!C17-'Estados Financieros'!C35</f>
        <v>14214182</v>
      </c>
      <c r="D15" s="14">
        <f>+'Estados Financieros'!D17-'Estados Financieros'!D35</f>
        <v>5665856</v>
      </c>
      <c r="E15" s="14">
        <f>+'Estados Financieros'!E17-'Estados Financieros'!E35</f>
        <v>6112396</v>
      </c>
      <c r="F15" s="14">
        <f>+'Estados Financieros'!F17-'Estados Financieros'!F35</f>
        <v>6994860</v>
      </c>
      <c r="G15" s="14">
        <f>+'Estados Financieros'!G17-'Estados Financieros'!G35</f>
        <v>9172421</v>
      </c>
      <c r="H15" s="9" t="s">
        <v>45</v>
      </c>
    </row>
    <row r="16" spans="2:8" x14ac:dyDescent="0.25">
      <c r="B16" s="10" t="s">
        <v>46</v>
      </c>
      <c r="C16" s="14">
        <f>+'Estados Financieros'!C17/'Estados Financieros'!C35</f>
        <v>2.4107887532177563</v>
      </c>
      <c r="D16" s="14">
        <f>+'Estados Financieros'!D17/'Estados Financieros'!D35</f>
        <v>1.6101908117101027</v>
      </c>
      <c r="E16" s="14">
        <f>+'Estados Financieros'!E17/'Estados Financieros'!E35</f>
        <v>1.6426917112335169</v>
      </c>
      <c r="F16" s="14">
        <f>+'Estados Financieros'!F17/'Estados Financieros'!F35</f>
        <v>1.6515018465953015</v>
      </c>
      <c r="G16" s="14">
        <f>+'Estados Financieros'!G17/'Estados Financieros'!G35</f>
        <v>1.7513284231649182</v>
      </c>
      <c r="H16" s="10" t="s">
        <v>47</v>
      </c>
    </row>
    <row r="17" spans="2:8" ht="15.75" thickBot="1" x14ac:dyDescent="0.3">
      <c r="B17" s="12" t="s">
        <v>48</v>
      </c>
      <c r="C17" s="113">
        <f>+('Estados Financieros'!C17-'Estados Financieros'!C15)/'Estados Financieros'!C35</f>
        <v>1.952368673466633</v>
      </c>
      <c r="D17" s="113">
        <f>+('Estados Financieros'!D17-'Estados Financieros'!D15)/'Estados Financieros'!D35</f>
        <v>0.99424568763122778</v>
      </c>
      <c r="E17" s="113">
        <f>+('Estados Financieros'!E17-'Estados Financieros'!E15)/'Estados Financieros'!E35</f>
        <v>0.95711982574425492</v>
      </c>
      <c r="F17" s="113">
        <f>+('Estados Financieros'!F17-'Estados Financieros'!F15)/'Estados Financieros'!F35</f>
        <v>1.1824596545098986</v>
      </c>
      <c r="G17" s="113">
        <f>+('Estados Financieros'!G17-'Estados Financieros'!G15)/'Estados Financieros'!G35</f>
        <v>1.1207342137146201</v>
      </c>
      <c r="H17" s="12" t="s">
        <v>73</v>
      </c>
    </row>
    <row r="18" spans="2:8" x14ac:dyDescent="0.25">
      <c r="B18" s="16"/>
      <c r="C18" s="25"/>
      <c r="D18" s="25"/>
      <c r="E18" s="25"/>
      <c r="F18" s="25"/>
      <c r="G18" s="25"/>
      <c r="H18" s="16"/>
    </row>
    <row r="19" spans="2:8" ht="15.75" thickBot="1" x14ac:dyDescent="0.3">
      <c r="B19" s="16"/>
      <c r="C19" s="25"/>
      <c r="D19" s="25"/>
      <c r="E19" s="25"/>
      <c r="F19" s="25"/>
      <c r="G19" s="25"/>
      <c r="H19" s="16"/>
    </row>
    <row r="20" spans="2:8" ht="19.5" thickBot="1" x14ac:dyDescent="0.35">
      <c r="B20" s="137" t="s">
        <v>72</v>
      </c>
      <c r="C20" s="138"/>
      <c r="D20" s="138"/>
      <c r="E20" s="138"/>
      <c r="F20" s="138"/>
      <c r="G20" s="139"/>
    </row>
    <row r="21" spans="2:8" ht="15.75" thickBot="1" x14ac:dyDescent="0.3">
      <c r="B21" s="8" t="s">
        <v>49</v>
      </c>
      <c r="C21" s="20">
        <f>C14</f>
        <v>2015</v>
      </c>
      <c r="D21" s="20">
        <f>D14</f>
        <v>2016</v>
      </c>
      <c r="E21" s="20">
        <f>E14</f>
        <v>2017</v>
      </c>
      <c r="F21" s="20">
        <f>F14</f>
        <v>2018</v>
      </c>
      <c r="G21" s="20">
        <f>G14</f>
        <v>2019</v>
      </c>
    </row>
    <row r="22" spans="2:8" x14ac:dyDescent="0.25">
      <c r="B22" s="9" t="s">
        <v>50</v>
      </c>
      <c r="C22" s="15">
        <f>+'Estados Financieros'!C42/'Estados Financieros'!C26</f>
        <v>0.37549906594302485</v>
      </c>
      <c r="D22" s="15">
        <f>+'Estados Financieros'!D42/'Estados Financieros'!D26</f>
        <v>0.52838872232354861</v>
      </c>
      <c r="E22" s="15">
        <f>+'Estados Financieros'!E42/'Estados Financieros'!E26</f>
        <v>0.52290134065706773</v>
      </c>
      <c r="F22" s="15">
        <f>+'Estados Financieros'!F42/'Estados Financieros'!F26</f>
        <v>0.52644132373624364</v>
      </c>
      <c r="G22" s="15">
        <f>+'Estados Financieros'!G42/'Estados Financieros'!G26</f>
        <v>0.49983289460404945</v>
      </c>
      <c r="H22" s="9" t="s">
        <v>51</v>
      </c>
    </row>
    <row r="23" spans="2:8" x14ac:dyDescent="0.25">
      <c r="B23" s="10" t="s">
        <v>52</v>
      </c>
      <c r="C23" s="11">
        <f>+'Estados Financieros'!C35/'Estados Financieros'!C42</f>
        <v>1</v>
      </c>
      <c r="D23" s="11">
        <f>+'Estados Financieros'!D35/'Estados Financieros'!D42</f>
        <v>1</v>
      </c>
      <c r="E23" s="11">
        <f>+'Estados Financieros'!E35/'Estados Financieros'!E42</f>
        <v>1</v>
      </c>
      <c r="F23" s="11">
        <f>+'Estados Financieros'!F35/'Estados Financieros'!F42</f>
        <v>1</v>
      </c>
      <c r="G23" s="11">
        <f>+'Estados Financieros'!G35/'Estados Financieros'!G42</f>
        <v>1</v>
      </c>
      <c r="H23" s="10" t="s">
        <v>53</v>
      </c>
    </row>
    <row r="24" spans="2:8" ht="15.75" thickBot="1" x14ac:dyDescent="0.3">
      <c r="B24" s="12" t="s">
        <v>54</v>
      </c>
      <c r="C24" s="13">
        <f>+'Estados Financieros'!C41/'Estados Financieros'!C42</f>
        <v>0</v>
      </c>
      <c r="D24" s="13">
        <f>+'Estados Financieros'!D41/'Estados Financieros'!D42</f>
        <v>0</v>
      </c>
      <c r="E24" s="13">
        <f>+'Estados Financieros'!E41/'Estados Financieros'!E42</f>
        <v>0</v>
      </c>
      <c r="F24" s="13">
        <f>+'Estados Financieros'!F41/'Estados Financieros'!F42</f>
        <v>0</v>
      </c>
      <c r="G24" s="13">
        <f>+'Estados Financieros'!G41/'Estados Financieros'!G42</f>
        <v>0</v>
      </c>
      <c r="H24" s="12" t="s">
        <v>55</v>
      </c>
    </row>
    <row r="25" spans="2:8" ht="15.75" thickBot="1" x14ac:dyDescent="0.3"/>
    <row r="26" spans="2:8" ht="19.5" thickBot="1" x14ac:dyDescent="0.35">
      <c r="B26" s="140" t="s">
        <v>142</v>
      </c>
      <c r="C26" s="141"/>
      <c r="D26" s="141"/>
      <c r="E26" s="141"/>
      <c r="F26" s="141"/>
      <c r="G26" s="142"/>
      <c r="H26" s="60"/>
    </row>
    <row r="27" spans="2:8" ht="15.75" thickBot="1" x14ac:dyDescent="0.3">
      <c r="B27" s="8" t="s">
        <v>56</v>
      </c>
      <c r="C27" s="21">
        <f>C21</f>
        <v>2015</v>
      </c>
      <c r="D27" s="21">
        <f>D21</f>
        <v>2016</v>
      </c>
      <c r="E27" s="21">
        <f>E21</f>
        <v>2017</v>
      </c>
      <c r="F27" s="21">
        <f>F21</f>
        <v>2018</v>
      </c>
      <c r="G27" s="21">
        <f>G21</f>
        <v>2019</v>
      </c>
    </row>
    <row r="28" spans="2:8" x14ac:dyDescent="0.25">
      <c r="B28" s="9" t="s">
        <v>57</v>
      </c>
      <c r="C28" s="61">
        <f>+'Estados Financieros'!C58/'Estados Financieros'!C49</f>
        <v>2.3104713618827191</v>
      </c>
      <c r="D28" s="61">
        <f>+'Estados Financieros'!D58/'Estados Financieros'!D49</f>
        <v>3.4548051295225064</v>
      </c>
      <c r="E28" s="61">
        <f>+'Estados Financieros'!E58/'Estados Financieros'!E49</f>
        <v>4.0478856248859127</v>
      </c>
      <c r="F28" s="61">
        <f>+'Estados Financieros'!F58/'Estados Financieros'!F49</f>
        <v>4.2999553737833924</v>
      </c>
      <c r="G28" s="61">
        <f>+'Estados Financieros'!G58/'Estados Financieros'!G49</f>
        <v>3.8750890808234217</v>
      </c>
      <c r="H28" s="9" t="s">
        <v>58</v>
      </c>
    </row>
    <row r="29" spans="2:8" x14ac:dyDescent="0.25">
      <c r="B29" s="10" t="s">
        <v>59</v>
      </c>
      <c r="C29" s="62">
        <f>+'Estados Financieros'!C58/'Estados Financieros'!C26</f>
        <v>1.4428915236076494</v>
      </c>
      <c r="D29" s="62">
        <f>+'Estados Financieros'!D58/'Estados Financieros'!D26</f>
        <v>1.6293250612572674</v>
      </c>
      <c r="E29" s="62">
        <f>+'Estados Financieros'!E58/'Estados Financieros'!E26</f>
        <v>1.9312408048065965</v>
      </c>
      <c r="F29" s="62">
        <f>+'Estados Financieros'!F58/'Estados Financieros'!F26</f>
        <v>2.036281174802089</v>
      </c>
      <c r="G29" s="62">
        <f>+'Estados Financieros'!G58/'Estados Financieros'!G26</f>
        <v>1.9381920887069055</v>
      </c>
      <c r="H29" s="10" t="s">
        <v>60</v>
      </c>
    </row>
    <row r="30" spans="2:8" x14ac:dyDescent="0.25">
      <c r="B30" s="10" t="s">
        <v>61</v>
      </c>
      <c r="C30" s="62">
        <f>+'Estados Financieros'!C58/'Estados Financieros'!C14</f>
        <v>2.684566767039938</v>
      </c>
      <c r="D30" s="62">
        <f>+'Estados Financieros'!D58/'Estados Financieros'!D14</f>
        <v>5.6986311975657946</v>
      </c>
      <c r="E30" s="62">
        <f>+'Estados Financieros'!E58/'Estados Financieros'!E14</f>
        <v>7.2900021252114833</v>
      </c>
      <c r="F30" s="62">
        <f>+'Estados Financieros'!F58/'Estados Financieros'!F14</f>
        <v>5.9067925391361387</v>
      </c>
      <c r="G30" s="62">
        <f>+'Estados Financieros'!G58/'Estados Financieros'!G14</f>
        <v>6.3385549229615465</v>
      </c>
      <c r="H30" s="10" t="s">
        <v>62</v>
      </c>
    </row>
    <row r="31" spans="2:8" x14ac:dyDescent="0.25">
      <c r="B31" s="10" t="s">
        <v>63</v>
      </c>
      <c r="C31" s="62">
        <f>+('Estados Financieros'!C14/'Estados Financieros'!C58)*365</f>
        <v>135.9623476239546</v>
      </c>
      <c r="D31" s="62">
        <f>+('Estados Financieros'!D14/'Estados Financieros'!D58)*365</f>
        <v>64.050468848714402</v>
      </c>
      <c r="E31" s="62">
        <f>+('Estados Financieros'!E14/'Estados Financieros'!E58)*365</f>
        <v>50.068572509423149</v>
      </c>
      <c r="F31" s="62">
        <f>+('Estados Financieros'!F14/'Estados Financieros'!F58)*365</f>
        <v>61.793265563611754</v>
      </c>
      <c r="G31" s="62">
        <f>+('Estados Financieros'!G14/'Estados Financieros'!G58)*365</f>
        <v>57.58410307020926</v>
      </c>
      <c r="H31" s="10" t="s">
        <v>64</v>
      </c>
    </row>
    <row r="32" spans="2:8" x14ac:dyDescent="0.25">
      <c r="B32" s="10" t="s">
        <v>65</v>
      </c>
      <c r="C32" s="62">
        <f>+('Estados Financieros'!C15/'Estados Financieros'!C59)*365</f>
        <v>50.31520571544219</v>
      </c>
      <c r="D32" s="62">
        <f>+('Estados Financieros'!D15/'Estados Financieros'!D59)*365</f>
        <v>74.286924230808694</v>
      </c>
      <c r="E32" s="62">
        <f>+('Estados Financieros'!E15/'Estados Financieros'!E59)*365</f>
        <v>74.463924349026712</v>
      </c>
      <c r="F32" s="62">
        <f>+('Estados Financieros'!F15/'Estados Financieros'!F59)*365</f>
        <v>49.845793481150132</v>
      </c>
      <c r="G32" s="62">
        <f>+('Estados Financieros'!G15/'Estados Financieros'!G59)*365</f>
        <v>71.060656021771223</v>
      </c>
      <c r="H32" s="10" t="s">
        <v>66</v>
      </c>
    </row>
    <row r="33" spans="1:8" x14ac:dyDescent="0.25">
      <c r="B33" s="10" t="s">
        <v>67</v>
      </c>
      <c r="C33" s="120">
        <f>+C31+C32</f>
        <v>186.27755333939677</v>
      </c>
      <c r="D33" s="120">
        <f t="shared" ref="D33:G33" si="0">+D31+D32</f>
        <v>138.33739307952311</v>
      </c>
      <c r="E33" s="120">
        <f t="shared" si="0"/>
        <v>124.53249685844986</v>
      </c>
      <c r="F33" s="120">
        <f t="shared" si="0"/>
        <v>111.63905904476189</v>
      </c>
      <c r="G33" s="120">
        <f t="shared" si="0"/>
        <v>128.64475909198049</v>
      </c>
      <c r="H33" s="10" t="s">
        <v>68</v>
      </c>
    </row>
    <row r="34" spans="1:8" ht="15.75" thickBot="1" x14ac:dyDescent="0.3">
      <c r="B34" s="12" t="s">
        <v>69</v>
      </c>
      <c r="C34" s="121">
        <f>('Estados Financieros'!C31/'Estados Financieros'!C59)*365</f>
        <v>45.210196188521323</v>
      </c>
      <c r="D34" s="121">
        <f>('Estados Financieros'!D31/'Estados Financieros'!D59)*365</f>
        <v>47.935924717943706</v>
      </c>
      <c r="E34" s="121">
        <f>('Estados Financieros'!E31/'Estados Financieros'!E59)*365</f>
        <v>52.802528205129491</v>
      </c>
      <c r="F34" s="121">
        <f>('Estados Financieros'!F31/'Estados Financieros'!F59)*365</f>
        <v>83.458017521916773</v>
      </c>
      <c r="G34" s="121">
        <f>('Estados Financieros'!G31/'Estados Financieros'!G59)*365</f>
        <v>81.024118807468369</v>
      </c>
      <c r="H34" s="12" t="s">
        <v>70</v>
      </c>
    </row>
    <row r="35" spans="1:8" x14ac:dyDescent="0.25">
      <c r="A35" s="1"/>
    </row>
    <row r="36" spans="1:8" ht="15.75" thickBot="1" x14ac:dyDescent="0.3"/>
    <row r="37" spans="1:8" x14ac:dyDescent="0.25">
      <c r="A37" s="1"/>
      <c r="H37" s="91" t="s">
        <v>147</v>
      </c>
    </row>
    <row r="38" spans="1:8" x14ac:dyDescent="0.25">
      <c r="H38" s="92" t="s">
        <v>144</v>
      </c>
    </row>
    <row r="39" spans="1:8" x14ac:dyDescent="0.25">
      <c r="A39" s="1"/>
      <c r="H39" s="93"/>
    </row>
    <row r="40" spans="1:8" x14ac:dyDescent="0.25">
      <c r="H40" s="92" t="s">
        <v>145</v>
      </c>
    </row>
    <row r="41" spans="1:8" x14ac:dyDescent="0.25">
      <c r="H41" s="93"/>
    </row>
    <row r="42" spans="1:8" ht="15.75" thickBot="1" x14ac:dyDescent="0.3">
      <c r="H42" s="94" t="s">
        <v>146</v>
      </c>
    </row>
  </sheetData>
  <mergeCells count="4">
    <mergeCell ref="B4:G4"/>
    <mergeCell ref="B13:G13"/>
    <mergeCell ref="B20:G20"/>
    <mergeCell ref="B26:G2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opLeftCell="B46" zoomScale="80" zoomScaleNormal="80" workbookViewId="0">
      <selection activeCell="G63" sqref="G63"/>
    </sheetView>
  </sheetViews>
  <sheetFormatPr baseColWidth="10" defaultRowHeight="15" x14ac:dyDescent="0.25"/>
  <cols>
    <col min="1" max="1" width="64" style="2" customWidth="1"/>
    <col min="2" max="2" width="60.7109375" style="2" bestFit="1" customWidth="1"/>
    <col min="3" max="3" width="18" style="2" hidden="1" customWidth="1"/>
    <col min="4" max="4" width="16.5703125" style="2" hidden="1" customWidth="1"/>
    <col min="5" max="7" width="21.7109375" style="2" bestFit="1" customWidth="1"/>
    <col min="8" max="8" width="15.85546875" style="2" bestFit="1" customWidth="1"/>
    <col min="9" max="16384" width="11.42578125" style="2"/>
  </cols>
  <sheetData>
    <row r="2" spans="1:8" ht="26.25" x14ac:dyDescent="0.4">
      <c r="B2" s="4" t="s">
        <v>129</v>
      </c>
    </row>
    <row r="3" spans="1:8" ht="18.75" x14ac:dyDescent="0.3">
      <c r="A3" s="3"/>
    </row>
    <row r="4" spans="1:8" ht="26.25" x14ac:dyDescent="0.4">
      <c r="B4" s="4" t="s">
        <v>3</v>
      </c>
    </row>
    <row r="12" spans="1:8" ht="23.25" x14ac:dyDescent="0.35">
      <c r="B12" s="7" t="s">
        <v>148</v>
      </c>
      <c r="C12" s="27">
        <f>'Estados Financieros'!C9</f>
        <v>2015</v>
      </c>
      <c r="D12" s="27">
        <f>'Estados Financieros'!D9</f>
        <v>2016</v>
      </c>
      <c r="E12" s="27">
        <f>'Estados Financieros'!E9</f>
        <v>2017</v>
      </c>
      <c r="F12" s="27">
        <f>'Estados Financieros'!F9</f>
        <v>2018</v>
      </c>
      <c r="G12" s="27">
        <f>'Estados Financieros'!G9</f>
        <v>2019</v>
      </c>
    </row>
    <row r="13" spans="1:8" ht="23.25" x14ac:dyDescent="0.35">
      <c r="B13" s="7" t="s">
        <v>4</v>
      </c>
      <c r="C13" s="28">
        <f>+'Estados Financieros'!C26</f>
        <v>26831875</v>
      </c>
      <c r="D13" s="28">
        <f>+'Estados Financieros'!D26</f>
        <v>17573017</v>
      </c>
      <c r="E13" s="28">
        <f>+'Estados Financieros'!E26</f>
        <v>18188171</v>
      </c>
      <c r="F13" s="28">
        <f>+'Estados Financieros'!F26</f>
        <v>20394516</v>
      </c>
      <c r="G13" s="28">
        <f>+'Estados Financieros'!G26</f>
        <v>24424705</v>
      </c>
    </row>
    <row r="14" spans="1:8" ht="23.25" x14ac:dyDescent="0.35">
      <c r="B14" s="7" t="s">
        <v>5</v>
      </c>
      <c r="C14" s="28">
        <f>+'Estados Financieros'!C70</f>
        <v>1734682</v>
      </c>
      <c r="D14" s="28">
        <f>+'Estados Financieros'!D70</f>
        <v>-2646053</v>
      </c>
      <c r="E14" s="28">
        <f>+'Estados Financieros'!E70</f>
        <v>389919</v>
      </c>
      <c r="F14" s="28">
        <f>+'Estados Financieros'!F70</f>
        <v>1234779</v>
      </c>
      <c r="G14" s="28">
        <f>+'Estados Financieros'!G70</f>
        <v>1912723</v>
      </c>
      <c r="H14" s="65" t="s">
        <v>2</v>
      </c>
    </row>
    <row r="15" spans="1:8" ht="23.25" x14ac:dyDescent="0.35">
      <c r="B15" s="64" t="s">
        <v>3</v>
      </c>
      <c r="C15" s="67">
        <f>+C14/C13</f>
        <v>6.4650047751042369E-2</v>
      </c>
      <c r="D15" s="67">
        <f t="shared" ref="D15:G15" si="0">+D14/D13</f>
        <v>-0.15057477039941405</v>
      </c>
      <c r="E15" s="67">
        <f t="shared" si="0"/>
        <v>2.1438054436589582E-2</v>
      </c>
      <c r="F15" s="67">
        <f t="shared" si="0"/>
        <v>6.0544658181640593E-2</v>
      </c>
      <c r="G15" s="67">
        <f t="shared" si="0"/>
        <v>7.8310997000782603E-2</v>
      </c>
      <c r="H15" s="70">
        <f>AVERAGE(E15:G15)</f>
        <v>5.3431236539670933E-2</v>
      </c>
    </row>
    <row r="16" spans="1:8" ht="18.75" x14ac:dyDescent="0.3">
      <c r="C16" s="26"/>
      <c r="D16" s="26"/>
      <c r="E16" s="26"/>
      <c r="F16" s="26"/>
      <c r="G16" s="26"/>
      <c r="H16" s="106"/>
    </row>
    <row r="17" spans="2:8" ht="18.75" x14ac:dyDescent="0.3">
      <c r="C17" s="26" t="s">
        <v>150</v>
      </c>
      <c r="D17" s="99">
        <f>MAX(C15:G15)</f>
        <v>7.8310997000782603E-2</v>
      </c>
      <c r="E17" s="26"/>
      <c r="F17" s="26"/>
    </row>
    <row r="18" spans="2:8" ht="18.75" x14ac:dyDescent="0.3">
      <c r="C18" s="26" t="s">
        <v>151</v>
      </c>
      <c r="D18" s="99">
        <f>MIN(C15:G15)</f>
        <v>-0.15057477039941405</v>
      </c>
      <c r="E18" s="26"/>
      <c r="F18" s="104"/>
      <c r="G18" s="105">
        <v>4.4999999999999998E-2</v>
      </c>
      <c r="H18" s="2" t="s">
        <v>153</v>
      </c>
    </row>
    <row r="19" spans="2:8" ht="18.75" x14ac:dyDescent="0.3">
      <c r="C19" s="26"/>
      <c r="D19" s="26"/>
      <c r="E19" s="26"/>
      <c r="F19" s="26"/>
      <c r="G19" s="99">
        <v>3.5000000000000003E-2</v>
      </c>
      <c r="H19" s="2" t="s">
        <v>152</v>
      </c>
    </row>
    <row r="20" spans="2:8" ht="26.25" x14ac:dyDescent="0.4">
      <c r="B20" s="4" t="s">
        <v>6</v>
      </c>
      <c r="C20" s="26"/>
      <c r="D20" s="26"/>
      <c r="E20" s="26"/>
      <c r="F20" s="26"/>
      <c r="G20" s="26"/>
    </row>
    <row r="21" spans="2:8" ht="18.75" x14ac:dyDescent="0.3">
      <c r="C21" s="26"/>
      <c r="D21" s="26"/>
      <c r="E21" s="26"/>
      <c r="F21" s="26"/>
      <c r="G21" s="26"/>
    </row>
    <row r="22" spans="2:8" ht="18.75" x14ac:dyDescent="0.3">
      <c r="C22" s="26"/>
      <c r="D22" s="26"/>
      <c r="E22" s="26"/>
      <c r="F22" s="26"/>
      <c r="G22" s="26"/>
    </row>
    <row r="23" spans="2:8" ht="18.75" x14ac:dyDescent="0.3">
      <c r="C23" s="26"/>
      <c r="D23" s="26"/>
      <c r="E23" s="26"/>
      <c r="F23" s="26"/>
      <c r="G23" s="26"/>
    </row>
    <row r="24" spans="2:8" ht="18.75" x14ac:dyDescent="0.3">
      <c r="C24" s="26"/>
      <c r="D24" s="26"/>
      <c r="E24" s="26"/>
      <c r="F24" s="26"/>
      <c r="G24" s="26"/>
    </row>
    <row r="25" spans="2:8" ht="18.75" x14ac:dyDescent="0.3">
      <c r="C25" s="26"/>
      <c r="D25" s="26"/>
      <c r="E25" s="26"/>
      <c r="F25" s="26"/>
      <c r="G25" s="26"/>
    </row>
    <row r="26" spans="2:8" ht="18.75" x14ac:dyDescent="0.3">
      <c r="C26" s="26"/>
      <c r="D26" s="26"/>
      <c r="E26" s="26"/>
      <c r="F26" s="26"/>
      <c r="G26" s="26"/>
    </row>
    <row r="27" spans="2:8" ht="28.5" x14ac:dyDescent="0.45">
      <c r="B27" s="5" t="s">
        <v>12</v>
      </c>
      <c r="C27" s="26"/>
      <c r="D27" s="26"/>
      <c r="E27" s="26"/>
      <c r="F27" s="26"/>
      <c r="G27" s="26"/>
    </row>
    <row r="28" spans="2:8" ht="18.75" x14ac:dyDescent="0.3">
      <c r="C28" s="27">
        <f t="shared" ref="C28:G28" si="1">C$12</f>
        <v>2015</v>
      </c>
      <c r="D28" s="27">
        <f t="shared" si="1"/>
        <v>2016</v>
      </c>
      <c r="E28" s="27">
        <f t="shared" si="1"/>
        <v>2017</v>
      </c>
      <c r="F28" s="27">
        <f t="shared" si="1"/>
        <v>2018</v>
      </c>
      <c r="G28" s="27">
        <f t="shared" si="1"/>
        <v>2019</v>
      </c>
    </row>
    <row r="29" spans="2:8" ht="23.25" x14ac:dyDescent="0.35">
      <c r="B29" s="6" t="s">
        <v>8</v>
      </c>
      <c r="C29" s="28">
        <f>+'Estados Financieros'!C64</f>
        <v>2098680</v>
      </c>
      <c r="D29" s="28">
        <f>+'Estados Financieros'!D64</f>
        <v>-2438660</v>
      </c>
      <c r="E29" s="28">
        <f>+'Estados Financieros'!E64</f>
        <v>382317</v>
      </c>
      <c r="F29" s="28">
        <f>+'Estados Financieros'!F64</f>
        <v>1768443</v>
      </c>
      <c r="G29" s="28">
        <f>+'Estados Financieros'!G64</f>
        <v>4095035</v>
      </c>
    </row>
    <row r="30" spans="2:8" ht="23.25" x14ac:dyDescent="0.35">
      <c r="B30" s="6" t="s">
        <v>9</v>
      </c>
      <c r="C30" s="67">
        <f>+'Estados Financieros'!C69/'Estados Financieros'!C68</f>
        <v>0.48015584398460021</v>
      </c>
      <c r="D30" s="67">
        <f>+'Estados Financieros'!D69/'Estados Financieros'!D68</f>
        <v>-6.5502100760816084E-2</v>
      </c>
      <c r="E30" s="67">
        <f>+'Estados Financieros'!E69/'Estados Financieros'!E68</f>
        <v>-0.897259107519086</v>
      </c>
      <c r="F30" s="67">
        <f>+'Estados Financieros'!F69/'Estados Financieros'!F68</f>
        <v>0.19572099094486803</v>
      </c>
      <c r="G30" s="67">
        <f>+'Estados Financieros'!G69/'Estados Financieros'!G68</f>
        <v>0.37524256543673212</v>
      </c>
      <c r="H30" s="66" t="s">
        <v>2</v>
      </c>
    </row>
    <row r="31" spans="2:8" ht="23.25" x14ac:dyDescent="0.35">
      <c r="B31" s="64" t="s">
        <v>7</v>
      </c>
      <c r="C31" s="68">
        <f>+C29*(1-C30)</f>
        <v>1090986.5333463992</v>
      </c>
      <c r="D31" s="68">
        <f t="shared" ref="D31:G31" si="2">+D29*(1-D30)</f>
        <v>-2598397.3530413718</v>
      </c>
      <c r="E31" s="68">
        <f t="shared" si="2"/>
        <v>725354.41020937439</v>
      </c>
      <c r="F31" s="68">
        <f t="shared" si="2"/>
        <v>1422321.5836104846</v>
      </c>
      <c r="G31" s="68">
        <f t="shared" si="2"/>
        <v>2558403.5610467913</v>
      </c>
      <c r="H31" s="107">
        <f>AVERAGE(E31:G31)</f>
        <v>1568693.1849555501</v>
      </c>
    </row>
    <row r="32" spans="2:8" ht="15.75" x14ac:dyDescent="0.25">
      <c r="C32" s="35"/>
      <c r="D32" s="35"/>
      <c r="E32" s="35"/>
      <c r="F32" s="35"/>
      <c r="G32" s="35"/>
    </row>
    <row r="33" spans="2:8" ht="18.75" x14ac:dyDescent="0.3">
      <c r="B33" s="87" t="s">
        <v>18</v>
      </c>
      <c r="C33" s="88">
        <f>+'Estados Financieros'!C58</f>
        <v>38715485</v>
      </c>
      <c r="D33" s="88">
        <f>+'Estados Financieros'!D58</f>
        <v>28632157</v>
      </c>
      <c r="E33" s="122">
        <f>+'Estados Financieros'!E58</f>
        <v>35125738</v>
      </c>
      <c r="F33" s="122">
        <f>+'Estados Financieros'!F58</f>
        <v>41528969</v>
      </c>
      <c r="G33" s="122">
        <f>+'Estados Financieros'!G58</f>
        <v>47339770</v>
      </c>
      <c r="H33" s="87"/>
    </row>
    <row r="34" spans="2:8" ht="28.5" x14ac:dyDescent="0.45">
      <c r="B34" s="5" t="s">
        <v>11</v>
      </c>
      <c r="C34" s="26"/>
      <c r="D34" s="26"/>
      <c r="E34" s="26"/>
      <c r="F34" s="26"/>
      <c r="G34" s="26"/>
    </row>
    <row r="35" spans="2:8" ht="18.75" x14ac:dyDescent="0.3">
      <c r="C35" s="27">
        <f t="shared" ref="C35:G35" si="3">C$12</f>
        <v>2015</v>
      </c>
      <c r="D35" s="27">
        <f t="shared" si="3"/>
        <v>2016</v>
      </c>
      <c r="E35" s="27">
        <f t="shared" si="3"/>
        <v>2017</v>
      </c>
      <c r="F35" s="27">
        <f t="shared" si="3"/>
        <v>2018</v>
      </c>
      <c r="G35" s="27">
        <f t="shared" si="3"/>
        <v>2019</v>
      </c>
    </row>
    <row r="36" spans="2:8" ht="23.25" x14ac:dyDescent="0.35">
      <c r="B36" s="6" t="s">
        <v>8</v>
      </c>
      <c r="C36" s="28">
        <f>+C29</f>
        <v>2098680</v>
      </c>
      <c r="D36" s="28">
        <f t="shared" ref="D36:G36" si="4">+D29</f>
        <v>-2438660</v>
      </c>
      <c r="E36" s="28">
        <f t="shared" si="4"/>
        <v>382317</v>
      </c>
      <c r="F36" s="28">
        <f t="shared" si="4"/>
        <v>1768443</v>
      </c>
      <c r="G36" s="28">
        <f t="shared" si="4"/>
        <v>4095035</v>
      </c>
    </row>
    <row r="37" spans="2:8" ht="23.25" x14ac:dyDescent="0.35">
      <c r="B37" s="6" t="s">
        <v>127</v>
      </c>
      <c r="C37" s="67">
        <v>0.35</v>
      </c>
      <c r="D37" s="67">
        <v>0.35</v>
      </c>
      <c r="E37" s="67">
        <v>0.35</v>
      </c>
      <c r="F37" s="67">
        <v>0.35</v>
      </c>
      <c r="G37" s="67">
        <v>0.35</v>
      </c>
      <c r="H37" s="66" t="s">
        <v>2</v>
      </c>
    </row>
    <row r="38" spans="2:8" ht="23.25" x14ac:dyDescent="0.35">
      <c r="B38" s="64" t="s">
        <v>7</v>
      </c>
      <c r="C38" s="68">
        <f>+C36*(1-C37)</f>
        <v>1364142</v>
      </c>
      <c r="D38" s="68">
        <f t="shared" ref="D38:G38" si="5">+D36*(1-D37)</f>
        <v>-1585129</v>
      </c>
      <c r="E38" s="68">
        <f t="shared" si="5"/>
        <v>248506.05000000002</v>
      </c>
      <c r="F38" s="68">
        <f t="shared" si="5"/>
        <v>1149487.95</v>
      </c>
      <c r="G38" s="68">
        <f t="shared" si="5"/>
        <v>2661772.75</v>
      </c>
      <c r="H38" s="107">
        <f>AVERAGE(E38:G38)</f>
        <v>1353255.5833333333</v>
      </c>
    </row>
    <row r="39" spans="2:8" ht="18.75" x14ac:dyDescent="0.3">
      <c r="C39" s="26"/>
      <c r="D39" s="26"/>
      <c r="E39" s="26"/>
      <c r="F39" s="26"/>
      <c r="G39" s="26"/>
    </row>
    <row r="40" spans="2:8" ht="18.75" x14ac:dyDescent="0.3">
      <c r="C40" s="26"/>
      <c r="D40" s="26"/>
      <c r="E40" s="26"/>
      <c r="F40" s="26"/>
      <c r="G40" s="26"/>
    </row>
    <row r="41" spans="2:8" ht="28.5" x14ac:dyDescent="0.45">
      <c r="B41" s="5" t="s">
        <v>10</v>
      </c>
      <c r="C41" s="26"/>
      <c r="D41" s="26"/>
      <c r="E41" s="26"/>
      <c r="F41" s="26"/>
      <c r="G41" s="26"/>
    </row>
    <row r="42" spans="2:8" ht="18.75" x14ac:dyDescent="0.3">
      <c r="C42" s="26"/>
      <c r="D42" s="26"/>
      <c r="E42" s="26"/>
      <c r="F42" s="26"/>
      <c r="G42" s="26"/>
    </row>
    <row r="43" spans="2:8" ht="18.75" x14ac:dyDescent="0.3">
      <c r="B43" s="1"/>
      <c r="C43" s="26"/>
      <c r="D43" s="26"/>
      <c r="E43" s="26"/>
      <c r="F43" s="26"/>
      <c r="G43" s="26"/>
    </row>
    <row r="44" spans="2:8" ht="18.75" x14ac:dyDescent="0.3">
      <c r="C44" s="26"/>
      <c r="D44" s="26"/>
      <c r="E44" s="26"/>
      <c r="F44" s="26"/>
      <c r="G44" s="26"/>
    </row>
    <row r="45" spans="2:8" ht="18.75" x14ac:dyDescent="0.3">
      <c r="C45" s="26"/>
      <c r="D45" s="26"/>
      <c r="E45" s="26"/>
      <c r="F45" s="26"/>
      <c r="G45" s="26"/>
    </row>
    <row r="46" spans="2:8" ht="18.75" x14ac:dyDescent="0.3">
      <c r="C46" s="26"/>
      <c r="D46" s="26"/>
      <c r="E46" s="26"/>
      <c r="F46" s="26"/>
      <c r="G46" s="26"/>
    </row>
    <row r="47" spans="2:8" ht="18.75" x14ac:dyDescent="0.3">
      <c r="C47" s="26"/>
      <c r="D47" s="26"/>
      <c r="E47" s="26"/>
      <c r="F47" s="26"/>
      <c r="G47" s="26"/>
    </row>
    <row r="48" spans="2:8" ht="18.75" x14ac:dyDescent="0.3">
      <c r="C48" s="26"/>
      <c r="D48" s="26"/>
      <c r="E48" s="26"/>
      <c r="F48" s="26"/>
      <c r="G48" s="26"/>
    </row>
    <row r="49" spans="1:8" ht="18.75" x14ac:dyDescent="0.3">
      <c r="C49" s="27">
        <f t="shared" ref="C49:G49" si="6">C$12</f>
        <v>2015</v>
      </c>
      <c r="D49" s="27">
        <f t="shared" si="6"/>
        <v>2016</v>
      </c>
      <c r="E49" s="27">
        <f t="shared" si="6"/>
        <v>2017</v>
      </c>
      <c r="F49" s="27">
        <f t="shared" si="6"/>
        <v>2018</v>
      </c>
      <c r="G49" s="27">
        <f t="shared" si="6"/>
        <v>2019</v>
      </c>
    </row>
    <row r="50" spans="1:8" ht="23.25" x14ac:dyDescent="0.35">
      <c r="B50" s="6" t="s">
        <v>13</v>
      </c>
      <c r="C50" s="28">
        <f>+'Estados Financieros'!C17</f>
        <v>24289526</v>
      </c>
      <c r="D50" s="28">
        <f>+'Estados Financieros'!D17</f>
        <v>14951240</v>
      </c>
      <c r="E50" s="28">
        <f>+'Estados Financieros'!E17</f>
        <v>15623015</v>
      </c>
      <c r="F50" s="28">
        <f>+'Estados Financieros'!F17</f>
        <v>17731376</v>
      </c>
      <c r="G50" s="28">
        <f>+'Estados Financieros'!G17</f>
        <v>21380692</v>
      </c>
    </row>
    <row r="51" spans="1:8" ht="23.25" x14ac:dyDescent="0.35">
      <c r="B51" s="6" t="s">
        <v>14</v>
      </c>
      <c r="C51" s="28">
        <f>+'Estados Financieros'!C22</f>
        <v>2026164</v>
      </c>
      <c r="D51" s="28">
        <f>+'Estados Financieros'!D22</f>
        <v>2015598</v>
      </c>
      <c r="E51" s="28">
        <f>+'Estados Financieros'!E22</f>
        <v>1674573</v>
      </c>
      <c r="F51" s="28">
        <f>+'Estados Financieros'!F22</f>
        <v>1860558</v>
      </c>
      <c r="G51" s="28">
        <f>+'Estados Financieros'!G22</f>
        <v>2257287</v>
      </c>
    </row>
    <row r="52" spans="1:8" ht="23.25" x14ac:dyDescent="0.35">
      <c r="B52" s="6" t="s">
        <v>15</v>
      </c>
      <c r="C52" s="28">
        <f>+'Estados Financieros'!C31</f>
        <v>4150120</v>
      </c>
      <c r="D52" s="28">
        <f>+'Estados Financieros'!D31</f>
        <v>3690546</v>
      </c>
      <c r="E52" s="28">
        <f>+'Estados Financieros'!E31</f>
        <v>4623497</v>
      </c>
      <c r="F52" s="28">
        <f>+'Estados Financieros'!F31</f>
        <v>8431694</v>
      </c>
      <c r="G52" s="28">
        <f>+'Estados Financieros'!G31</f>
        <v>8777872</v>
      </c>
    </row>
    <row r="53" spans="1:8" ht="23.25" x14ac:dyDescent="0.35">
      <c r="B53" s="6" t="s">
        <v>10</v>
      </c>
      <c r="C53" s="30">
        <f>+C50+C51-C52</f>
        <v>22165570</v>
      </c>
      <c r="D53" s="30">
        <f t="shared" ref="D53:G53" si="7">+D50+D51-D52</f>
        <v>13276292</v>
      </c>
      <c r="E53" s="30">
        <f t="shared" si="7"/>
        <v>12674091</v>
      </c>
      <c r="F53" s="30">
        <f t="shared" si="7"/>
        <v>11160240</v>
      </c>
      <c r="G53" s="30">
        <f t="shared" si="7"/>
        <v>14860107</v>
      </c>
    </row>
    <row r="54" spans="1:8" ht="18.75" x14ac:dyDescent="0.3">
      <c r="C54" s="26" t="str">
        <f ca="1">_xlfn.FORMULATEXT(C53)</f>
        <v>=+C50+C51-C52</v>
      </c>
      <c r="D54" s="26"/>
      <c r="E54" s="26"/>
      <c r="F54" s="26"/>
      <c r="G54" s="26"/>
    </row>
    <row r="55" spans="1:8" ht="18.75" x14ac:dyDescent="0.3">
      <c r="C55" s="26"/>
      <c r="D55" s="26"/>
      <c r="E55" s="26"/>
      <c r="F55" s="26"/>
      <c r="G55" s="26"/>
    </row>
    <row r="56" spans="1:8" ht="18.75" x14ac:dyDescent="0.3">
      <c r="C56" s="27">
        <f t="shared" ref="C56:G56" si="8">C$12</f>
        <v>2015</v>
      </c>
      <c r="D56" s="27">
        <f t="shared" si="8"/>
        <v>2016</v>
      </c>
      <c r="E56" s="27">
        <f t="shared" si="8"/>
        <v>2017</v>
      </c>
      <c r="F56" s="27">
        <f t="shared" si="8"/>
        <v>2018</v>
      </c>
      <c r="G56" s="27">
        <f t="shared" si="8"/>
        <v>2019</v>
      </c>
    </row>
    <row r="57" spans="1:8" ht="23.25" x14ac:dyDescent="0.35">
      <c r="B57" s="7" t="s">
        <v>7</v>
      </c>
      <c r="C57" s="28">
        <f>+C31</f>
        <v>1090986.5333463992</v>
      </c>
      <c r="D57" s="28">
        <f t="shared" ref="D57:G57" si="9">+D31</f>
        <v>-2598397.3530413718</v>
      </c>
      <c r="E57" s="28">
        <f t="shared" si="9"/>
        <v>725354.41020937439</v>
      </c>
      <c r="F57" s="28">
        <f t="shared" si="9"/>
        <v>1422321.5836104846</v>
      </c>
      <c r="G57" s="28">
        <f t="shared" si="9"/>
        <v>2558403.5610467913</v>
      </c>
    </row>
    <row r="58" spans="1:8" ht="23.25" x14ac:dyDescent="0.35">
      <c r="B58" s="7" t="s">
        <v>10</v>
      </c>
      <c r="C58" s="28">
        <f>+C53</f>
        <v>22165570</v>
      </c>
      <c r="D58" s="28">
        <f t="shared" ref="D58:G58" si="10">+D53</f>
        <v>13276292</v>
      </c>
      <c r="E58" s="28">
        <f t="shared" si="10"/>
        <v>12674091</v>
      </c>
      <c r="F58" s="28">
        <f t="shared" si="10"/>
        <v>11160240</v>
      </c>
      <c r="G58" s="28">
        <f t="shared" si="10"/>
        <v>14860107</v>
      </c>
      <c r="H58" s="66" t="s">
        <v>2</v>
      </c>
    </row>
    <row r="59" spans="1:8" ht="23.25" x14ac:dyDescent="0.35">
      <c r="B59" s="64" t="s">
        <v>6</v>
      </c>
      <c r="C59" s="108">
        <f>+C57/C58</f>
        <v>4.9219872683012401E-2</v>
      </c>
      <c r="D59" s="108">
        <f t="shared" ref="D59:G59" si="11">+D57/D58</f>
        <v>-0.19571709879847263</v>
      </c>
      <c r="E59" s="108">
        <f t="shared" si="11"/>
        <v>5.7231276799998863E-2</v>
      </c>
      <c r="F59" s="108">
        <f t="shared" si="11"/>
        <v>0.12744542981248475</v>
      </c>
      <c r="G59" s="108">
        <f t="shared" si="11"/>
        <v>0.17216589093515888</v>
      </c>
      <c r="H59" s="70">
        <f>AVERAGE(E59:G59)</f>
        <v>0.11894753251588082</v>
      </c>
    </row>
    <row r="60" spans="1:8" ht="18.75" x14ac:dyDescent="0.3">
      <c r="C60" s="26"/>
      <c r="D60" s="26"/>
      <c r="E60" s="26"/>
      <c r="F60" s="26"/>
      <c r="G60" s="26"/>
    </row>
    <row r="61" spans="1:8" ht="18.75" x14ac:dyDescent="0.3">
      <c r="C61" s="26"/>
      <c r="D61" s="26"/>
      <c r="E61" s="26"/>
      <c r="F61" s="26"/>
      <c r="G61" s="26"/>
    </row>
    <row r="62" spans="1:8" ht="18.75" x14ac:dyDescent="0.3">
      <c r="C62" s="26"/>
      <c r="D62" s="26"/>
      <c r="E62" s="26"/>
      <c r="F62" s="26"/>
      <c r="G62" s="26"/>
    </row>
    <row r="63" spans="1:8" ht="23.25" x14ac:dyDescent="0.35">
      <c r="B63" s="64" t="s">
        <v>3</v>
      </c>
      <c r="C63" s="69">
        <f>+H15</f>
        <v>5.3431236539670933E-2</v>
      </c>
      <c r="D63" s="26"/>
      <c r="E63" s="26"/>
      <c r="F63" s="26"/>
      <c r="G63" s="26"/>
    </row>
    <row r="64" spans="1:8" ht="23.25" x14ac:dyDescent="0.35">
      <c r="A64" s="3"/>
      <c r="B64" s="64" t="s">
        <v>6</v>
      </c>
      <c r="C64" s="69">
        <f>+H59</f>
        <v>0.11894753251588082</v>
      </c>
      <c r="D64" s="26"/>
      <c r="E64" s="26"/>
      <c r="F64" s="26"/>
      <c r="G64" s="26"/>
    </row>
    <row r="65" spans="2:7" ht="23.25" x14ac:dyDescent="0.35">
      <c r="B65" s="64" t="s">
        <v>128</v>
      </c>
      <c r="C65" s="70">
        <f>+C63-C64</f>
        <v>-6.5516295976209893E-2</v>
      </c>
      <c r="D65" s="26"/>
      <c r="E65" s="26"/>
      <c r="F65" s="26"/>
      <c r="G65" s="2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4:U56"/>
  <sheetViews>
    <sheetView topLeftCell="F76" zoomScale="80" zoomScaleNormal="80" workbookViewId="0">
      <selection activeCell="W6" sqref="W6"/>
    </sheetView>
  </sheetViews>
  <sheetFormatPr baseColWidth="10" defaultRowHeight="15" x14ac:dyDescent="0.25"/>
  <cols>
    <col min="1" max="16384" width="11.42578125" style="2"/>
  </cols>
  <sheetData>
    <row r="4" spans="21:21" x14ac:dyDescent="0.25">
      <c r="U4" s="1"/>
    </row>
    <row r="32" spans="15:19" x14ac:dyDescent="0.25">
      <c r="O32" s="95"/>
      <c r="P32" s="95"/>
      <c r="Q32" s="95"/>
      <c r="R32" s="95"/>
      <c r="S32" s="95"/>
    </row>
    <row r="33" spans="14:19" ht="15.75" thickBot="1" x14ac:dyDescent="0.3"/>
    <row r="34" spans="14:19" ht="15.75" thickBot="1" x14ac:dyDescent="0.3">
      <c r="N34" s="96" t="s">
        <v>3</v>
      </c>
      <c r="O34" s="118">
        <f>+'Inductores de Rentabilidad'!C63</f>
        <v>5.3431236539670933E-2</v>
      </c>
      <c r="P34" s="119">
        <f t="shared" ref="P34:S35" si="0">+O34</f>
        <v>5.3431236539670933E-2</v>
      </c>
      <c r="Q34" s="119">
        <f t="shared" si="0"/>
        <v>5.3431236539670933E-2</v>
      </c>
      <c r="R34" s="119">
        <f t="shared" si="0"/>
        <v>5.3431236539670933E-2</v>
      </c>
      <c r="S34" s="119">
        <f>+R34</f>
        <v>5.3431236539670933E-2</v>
      </c>
    </row>
    <row r="35" spans="14:19" ht="15.75" thickBot="1" x14ac:dyDescent="0.3">
      <c r="N35" s="97" t="s">
        <v>6</v>
      </c>
      <c r="O35" s="118">
        <f>+'Inductores de Rentabilidad'!C64</f>
        <v>0.11894753251588082</v>
      </c>
      <c r="P35" s="119">
        <f t="shared" si="0"/>
        <v>0.11894753251588082</v>
      </c>
      <c r="Q35" s="119">
        <f t="shared" si="0"/>
        <v>0.11894753251588082</v>
      </c>
      <c r="R35" s="119">
        <f t="shared" si="0"/>
        <v>0.11894753251588082</v>
      </c>
      <c r="S35" s="119">
        <f t="shared" si="0"/>
        <v>0.11894753251588082</v>
      </c>
    </row>
    <row r="36" spans="14:19" ht="15.75" thickBot="1" x14ac:dyDescent="0.3">
      <c r="N36" s="98" t="s">
        <v>128</v>
      </c>
      <c r="O36" s="118">
        <f>+'Inductores de Rentabilidad'!C65</f>
        <v>-6.5516295976209893E-2</v>
      </c>
      <c r="P36" s="103"/>
      <c r="Q36" s="103"/>
      <c r="R36" s="103"/>
      <c r="S36" s="103"/>
    </row>
    <row r="56" spans="20:20" x14ac:dyDescent="0.25">
      <c r="T56" s="2" t="s">
        <v>167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B5B32307EDFE48AD15B426AB537D24" ma:contentTypeVersion="13" ma:contentTypeDescription="Crear nuevo documento." ma:contentTypeScope="" ma:versionID="4ce4add43a1fe779a2ca384a48c23099">
  <xsd:schema xmlns:xsd="http://www.w3.org/2001/XMLSchema" xmlns:xs="http://www.w3.org/2001/XMLSchema" xmlns:p="http://schemas.microsoft.com/office/2006/metadata/properties" xmlns:ns3="5de40c2b-e145-4d5c-8756-4cabd5724d9a" xmlns:ns4="80e42bf9-a904-45d9-9e2a-ea4471492b24" targetNamespace="http://schemas.microsoft.com/office/2006/metadata/properties" ma:root="true" ma:fieldsID="3b1d29dddac6b2eb4cc513dc2f8525f6" ns3:_="" ns4:_="">
    <xsd:import namespace="5de40c2b-e145-4d5c-8756-4cabd5724d9a"/>
    <xsd:import namespace="80e42bf9-a904-45d9-9e2a-ea4471492b2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40c2b-e145-4d5c-8756-4cabd5724d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42bf9-a904-45d9-9e2a-ea4471492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825C8C-2824-47A1-B756-FF9429B98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40c2b-e145-4d5c-8756-4cabd5724d9a"/>
    <ds:schemaRef ds:uri="80e42bf9-a904-45d9-9e2a-ea4471492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F464C3-CBDE-4F71-B963-F66CD900A7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6D476-09DB-4372-B600-13FF7539F3BA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80e42bf9-a904-45d9-9e2a-ea4471492b24"/>
    <ds:schemaRef ds:uri="5de40c2b-e145-4d5c-8756-4cabd5724d9a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Estados Financieros</vt:lpstr>
      <vt:lpstr>Flujo de Caja</vt:lpstr>
      <vt:lpstr>Inductores Operativos y Financi</vt:lpstr>
      <vt:lpstr>Razones Financieras</vt:lpstr>
      <vt:lpstr>Inductores de Rentabilidad</vt:lpstr>
      <vt:lpstr>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Ferrin</dc:creator>
  <cp:lastModifiedBy>Marbelis Contreras Barba</cp:lastModifiedBy>
  <dcterms:created xsi:type="dcterms:W3CDTF">2014-09-30T03:29:49Z</dcterms:created>
  <dcterms:modified xsi:type="dcterms:W3CDTF">2021-06-30T23:02:35Z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0x0101004AB5B32307EDFE48AD15B426AB537D24</vt:lpwstr>
  </property>
</Properties>
</file>