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4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5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6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7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8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9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0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11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EJeimmy\Desktop\DOCUMENTOS GRADO\"/>
    </mc:Choice>
  </mc:AlternateContent>
  <xr:revisionPtr revIDLastSave="0" documentId="8_{6D7ACD88-DD3E-4283-95ED-29D541561F92}" xr6:coauthVersionLast="47" xr6:coauthVersionMax="47" xr10:uidLastSave="{00000000-0000-0000-0000-000000000000}"/>
  <bookViews>
    <workbookView showSheetTabs="0" xWindow="-120" yWindow="-120" windowWidth="20730" windowHeight="11160" firstSheet="13" activeTab="4" xr2:uid="{00000000-000D-0000-FFFF-FFFF00000000}"/>
  </bookViews>
  <sheets>
    <sheet name="Estados Financieros" sheetId="8" r:id="rId1"/>
    <sheet name="Inductores Operativos y Financi" sheetId="4" r:id="rId2"/>
    <sheet name="DESAGREGADO CXP" sheetId="13" state="hidden" r:id="rId3"/>
    <sheet name="Inductores de Rentabilidad" sheetId="3" r:id="rId4"/>
    <sheet name="Razones Financieras" sheetId="7" r:id="rId5"/>
    <sheet name="Flujo de Caja" sheetId="5" r:id="rId6"/>
    <sheet name="Informe" sheetId="10" r:id="rId7"/>
    <sheet name="RENTABILIDAD OPERACIONAL" sheetId="15" r:id="rId8"/>
    <sheet name="ROE." sheetId="16" r:id="rId9"/>
    <sheet name="RAZON CORRIENTE" sheetId="17" r:id="rId10"/>
    <sheet name="INDICE DE SOLIDEZ." sheetId="18" r:id="rId11"/>
    <sheet name="ENDEUDAMIENTO" sheetId="19" r:id="rId12"/>
    <sheet name="ROTACION CARTERA." sheetId="21" r:id="rId13"/>
    <sheet name="CONTENIDO" sheetId="14" r:id="rId14"/>
    <sheet name="Cifras Historicas" sheetId="22" r:id="rId15"/>
    <sheet name="Analisis Financiero" sheetId="23" r:id="rId16"/>
    <sheet name="Estrategias Operativas" sheetId="24" r:id="rId17"/>
    <sheet name="Estados Finan + Estrategia" sheetId="25" r:id="rId18"/>
    <sheet name="Valoración Sin Estrategia" sheetId="26" r:id="rId19"/>
    <sheet name="Valoración + Estrategia" sheetId="27" r:id="rId20"/>
    <sheet name="TEORIA" sheetId="12" state="hidden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7" i="3" l="1"/>
  <c r="G38" i="3"/>
  <c r="C65" i="3"/>
  <c r="C63" i="3"/>
  <c r="C64" i="3"/>
  <c r="G15" i="3"/>
  <c r="G98" i="4"/>
  <c r="H82" i="4"/>
  <c r="J193" i="27"/>
  <c r="I205" i="27" s="1"/>
  <c r="J192" i="27"/>
  <c r="I204" i="27" s="1"/>
  <c r="J191" i="27"/>
  <c r="I203" i="27" s="1"/>
  <c r="J190" i="27"/>
  <c r="I202" i="27" s="1"/>
  <c r="F120" i="27"/>
  <c r="F179" i="27" s="1"/>
  <c r="F32" i="27"/>
  <c r="F22" i="27"/>
  <c r="F19" i="27"/>
  <c r="F16" i="27"/>
  <c r="F26" i="27" s="1"/>
  <c r="F13" i="27"/>
  <c r="F23" i="27" s="1"/>
  <c r="F12" i="27"/>
  <c r="F14" i="27" s="1"/>
  <c r="F17" i="27" s="1"/>
  <c r="F179" i="26"/>
  <c r="I84" i="26"/>
  <c r="I84" i="27" s="1"/>
  <c r="H84" i="26"/>
  <c r="H84" i="27" s="1"/>
  <c r="F26" i="26"/>
  <c r="F22" i="26"/>
  <c r="F19" i="26"/>
  <c r="F16" i="26"/>
  <c r="F13" i="26"/>
  <c r="F23" i="26" s="1"/>
  <c r="F12" i="26"/>
  <c r="J31" i="25"/>
  <c r="I31" i="25"/>
  <c r="H31" i="25"/>
  <c r="G31" i="25"/>
  <c r="F31" i="25"/>
  <c r="J30" i="25"/>
  <c r="I30" i="25"/>
  <c r="H30" i="25"/>
  <c r="G30" i="25"/>
  <c r="F30" i="25"/>
  <c r="W21" i="25"/>
  <c r="V21" i="25"/>
  <c r="U21" i="25"/>
  <c r="T21" i="25"/>
  <c r="S21" i="25"/>
  <c r="J36" i="24"/>
  <c r="J23" i="24"/>
  <c r="J18" i="24"/>
  <c r="J13" i="24"/>
  <c r="H54" i="23"/>
  <c r="O34" i="23"/>
  <c r="I34" i="24" s="1"/>
  <c r="I37" i="24" s="1"/>
  <c r="O34" i="25" s="1"/>
  <c r="G34" i="23"/>
  <c r="G34" i="25" s="1"/>
  <c r="W33" i="23"/>
  <c r="V33" i="23"/>
  <c r="U33" i="23"/>
  <c r="T33" i="23"/>
  <c r="S33" i="23"/>
  <c r="O33" i="23"/>
  <c r="N33" i="23"/>
  <c r="N34" i="23" s="1"/>
  <c r="H34" i="24" s="1"/>
  <c r="H37" i="24" s="1"/>
  <c r="N34" i="25" s="1"/>
  <c r="M33" i="23"/>
  <c r="M34" i="23" s="1"/>
  <c r="G34" i="24" s="1"/>
  <c r="G37" i="24" s="1"/>
  <c r="M34" i="25" s="1"/>
  <c r="L33" i="23"/>
  <c r="L34" i="23" s="1"/>
  <c r="F34" i="24" s="1"/>
  <c r="F37" i="24" s="1"/>
  <c r="L34" i="25" s="1"/>
  <c r="K33" i="23"/>
  <c r="K34" i="23" s="1"/>
  <c r="E34" i="24" s="1"/>
  <c r="E37" i="24" s="1"/>
  <c r="J33" i="23"/>
  <c r="J33" i="25" s="1"/>
  <c r="I33" i="23"/>
  <c r="H33" i="23"/>
  <c r="G33" i="23"/>
  <c r="G33" i="25" s="1"/>
  <c r="A11" i="23"/>
  <c r="S94" i="22"/>
  <c r="S93" i="22"/>
  <c r="J93" i="22"/>
  <c r="J112" i="25" s="1"/>
  <c r="I93" i="22"/>
  <c r="H93" i="22"/>
  <c r="H112" i="25" s="1"/>
  <c r="G93" i="22"/>
  <c r="F93" i="22"/>
  <c r="S92" i="22"/>
  <c r="J92" i="22"/>
  <c r="I92" i="22"/>
  <c r="I111" i="23" s="1"/>
  <c r="H92" i="22"/>
  <c r="G92" i="22"/>
  <c r="F92" i="22"/>
  <c r="S90" i="22"/>
  <c r="J85" i="22"/>
  <c r="I85" i="22"/>
  <c r="N85" i="22" s="1"/>
  <c r="H85" i="22"/>
  <c r="H105" i="25" s="1"/>
  <c r="G85" i="22"/>
  <c r="F85" i="22"/>
  <c r="J82" i="22"/>
  <c r="I82" i="22"/>
  <c r="I102" i="23" s="1"/>
  <c r="H82" i="22"/>
  <c r="G82" i="22"/>
  <c r="F82" i="22"/>
  <c r="J81" i="22"/>
  <c r="J101" i="25" s="1"/>
  <c r="I81" i="22"/>
  <c r="H81" i="22"/>
  <c r="G81" i="22"/>
  <c r="F81" i="22"/>
  <c r="F101" i="25" s="1"/>
  <c r="J80" i="22"/>
  <c r="O80" i="22" s="1"/>
  <c r="I80" i="22"/>
  <c r="H80" i="22"/>
  <c r="H100" i="25" s="1"/>
  <c r="G80" i="22"/>
  <c r="F80" i="22"/>
  <c r="J77" i="22"/>
  <c r="I77" i="22"/>
  <c r="H77" i="22"/>
  <c r="H97" i="25" s="1"/>
  <c r="G77" i="22"/>
  <c r="F77" i="22"/>
  <c r="J76" i="22"/>
  <c r="I76" i="22"/>
  <c r="N76" i="22" s="1"/>
  <c r="H76" i="22"/>
  <c r="G76" i="22"/>
  <c r="F76" i="22"/>
  <c r="U75" i="22"/>
  <c r="J20" i="24" s="1"/>
  <c r="J74" i="22"/>
  <c r="J94" i="25" s="1"/>
  <c r="I74" i="22"/>
  <c r="H74" i="22"/>
  <c r="G74" i="22"/>
  <c r="F74" i="22"/>
  <c r="F94" i="25" s="1"/>
  <c r="J73" i="22"/>
  <c r="I73" i="22"/>
  <c r="I93" i="23" s="1"/>
  <c r="H73" i="22"/>
  <c r="H93" i="25" s="1"/>
  <c r="G73" i="22"/>
  <c r="F73" i="22"/>
  <c r="K73" i="22" s="1"/>
  <c r="J60" i="22"/>
  <c r="J83" i="23" s="1"/>
  <c r="J83" i="25" s="1"/>
  <c r="I60" i="22"/>
  <c r="I83" i="23" s="1"/>
  <c r="I83" i="25" s="1"/>
  <c r="H60" i="22"/>
  <c r="G60" i="22"/>
  <c r="G83" i="23" s="1"/>
  <c r="G83" i="25" s="1"/>
  <c r="F60" i="22"/>
  <c r="F83" i="23" s="1"/>
  <c r="F83" i="25" s="1"/>
  <c r="J59" i="22"/>
  <c r="I59" i="22"/>
  <c r="I82" i="25" s="1"/>
  <c r="H59" i="22"/>
  <c r="H82" i="25" s="1"/>
  <c r="G59" i="22"/>
  <c r="F59" i="22"/>
  <c r="J58" i="22"/>
  <c r="J81" i="25" s="1"/>
  <c r="I58" i="22"/>
  <c r="I81" i="25" s="1"/>
  <c r="H58" i="22"/>
  <c r="G58" i="22"/>
  <c r="F58" i="22"/>
  <c r="F81" i="25" s="1"/>
  <c r="J57" i="22"/>
  <c r="I57" i="22"/>
  <c r="I80" i="23" s="1"/>
  <c r="I80" i="25" s="1"/>
  <c r="H57" i="22"/>
  <c r="H80" i="23" s="1"/>
  <c r="H80" i="25" s="1"/>
  <c r="G57" i="22"/>
  <c r="F57" i="22"/>
  <c r="J56" i="22"/>
  <c r="J79" i="23" s="1"/>
  <c r="I56" i="22"/>
  <c r="I79" i="25" s="1"/>
  <c r="H56" i="22"/>
  <c r="G56" i="22"/>
  <c r="F56" i="22"/>
  <c r="J55" i="22"/>
  <c r="I55" i="22"/>
  <c r="H55" i="22"/>
  <c r="G55" i="22"/>
  <c r="G78" i="25" s="1"/>
  <c r="F55" i="22"/>
  <c r="J49" i="22"/>
  <c r="J72" i="23" s="1"/>
  <c r="I49" i="22"/>
  <c r="I72" i="25" s="1"/>
  <c r="H49" i="22"/>
  <c r="H72" i="25" s="1"/>
  <c r="G49" i="22"/>
  <c r="F49" i="22"/>
  <c r="J48" i="22"/>
  <c r="J71" i="25" s="1"/>
  <c r="I48" i="22"/>
  <c r="H48" i="22"/>
  <c r="G48" i="22"/>
  <c r="G71" i="25" s="1"/>
  <c r="F48" i="22"/>
  <c r="F71" i="25" s="1"/>
  <c r="J47" i="22"/>
  <c r="J70" i="25" s="1"/>
  <c r="I47" i="22"/>
  <c r="I70" i="25" s="1"/>
  <c r="H47" i="22"/>
  <c r="H70" i="25" s="1"/>
  <c r="G47" i="22"/>
  <c r="F47" i="22"/>
  <c r="F70" i="23" s="1"/>
  <c r="J46" i="22"/>
  <c r="J69" i="25" s="1"/>
  <c r="I46" i="22"/>
  <c r="H46" i="22"/>
  <c r="H69" i="25" s="1"/>
  <c r="G46" i="22"/>
  <c r="G69" i="25" s="1"/>
  <c r="F46" i="22"/>
  <c r="F69" i="25" s="1"/>
  <c r="J43" i="22"/>
  <c r="J66" i="25" s="1"/>
  <c r="I43" i="22"/>
  <c r="H43" i="22"/>
  <c r="H66" i="25" s="1"/>
  <c r="G43" i="22"/>
  <c r="G66" i="25" s="1"/>
  <c r="F43" i="22"/>
  <c r="F66" i="25" s="1"/>
  <c r="J42" i="22"/>
  <c r="J65" i="25" s="1"/>
  <c r="I42" i="22"/>
  <c r="I65" i="25" s="1"/>
  <c r="H42" i="22"/>
  <c r="H65" i="25" s="1"/>
  <c r="G42" i="22"/>
  <c r="F42" i="22"/>
  <c r="F65" i="25" s="1"/>
  <c r="J41" i="22"/>
  <c r="J64" i="25" s="1"/>
  <c r="I41" i="22"/>
  <c r="H41" i="22"/>
  <c r="H64" i="25" s="1"/>
  <c r="G41" i="22"/>
  <c r="G64" i="25" s="1"/>
  <c r="F41" i="22"/>
  <c r="F64" i="25" s="1"/>
  <c r="J40" i="22"/>
  <c r="J63" i="25" s="1"/>
  <c r="I40" i="22"/>
  <c r="I63" i="25" s="1"/>
  <c r="H40" i="22"/>
  <c r="H63" i="25" s="1"/>
  <c r="G40" i="22"/>
  <c r="F40" i="22"/>
  <c r="F63" i="25" s="1"/>
  <c r="J39" i="22"/>
  <c r="J62" i="25" s="1"/>
  <c r="I39" i="22"/>
  <c r="H39" i="22"/>
  <c r="H62" i="25" s="1"/>
  <c r="G39" i="22"/>
  <c r="G62" i="25" s="1"/>
  <c r="F39" i="22"/>
  <c r="F62" i="25" s="1"/>
  <c r="J33" i="22"/>
  <c r="J56" i="25" s="1"/>
  <c r="I33" i="22"/>
  <c r="I56" i="25" s="1"/>
  <c r="H33" i="22"/>
  <c r="H56" i="25" s="1"/>
  <c r="G33" i="22"/>
  <c r="F33" i="22"/>
  <c r="J32" i="22"/>
  <c r="J55" i="25" s="1"/>
  <c r="I32" i="22"/>
  <c r="H32" i="22"/>
  <c r="G32" i="22"/>
  <c r="G55" i="25" s="1"/>
  <c r="F32" i="22"/>
  <c r="F55" i="25" s="1"/>
  <c r="J31" i="22"/>
  <c r="I31" i="22"/>
  <c r="I54" i="25" s="1"/>
  <c r="H31" i="22"/>
  <c r="H54" i="25" s="1"/>
  <c r="G31" i="22"/>
  <c r="F31" i="22"/>
  <c r="J30" i="22"/>
  <c r="J53" i="25" s="1"/>
  <c r="I30" i="22"/>
  <c r="H30" i="22"/>
  <c r="G30" i="22"/>
  <c r="G53" i="25" s="1"/>
  <c r="F30" i="22"/>
  <c r="F53" i="25" s="1"/>
  <c r="J29" i="22"/>
  <c r="I29" i="22"/>
  <c r="I52" i="25" s="1"/>
  <c r="H29" i="22"/>
  <c r="H52" i="25" s="1"/>
  <c r="G29" i="22"/>
  <c r="F29" i="22"/>
  <c r="F52" i="23" s="1"/>
  <c r="J26" i="22"/>
  <c r="J49" i="25" s="1"/>
  <c r="I26" i="22"/>
  <c r="I49" i="25" s="1"/>
  <c r="H26" i="22"/>
  <c r="H49" i="25" s="1"/>
  <c r="G26" i="22"/>
  <c r="F26" i="22"/>
  <c r="F49" i="23" s="1"/>
  <c r="J25" i="22"/>
  <c r="J48" i="25" s="1"/>
  <c r="I25" i="22"/>
  <c r="H25" i="22"/>
  <c r="G25" i="22"/>
  <c r="G48" i="25" s="1"/>
  <c r="F25" i="22"/>
  <c r="F48" i="25" s="1"/>
  <c r="J24" i="22"/>
  <c r="I24" i="22"/>
  <c r="I47" i="25" s="1"/>
  <c r="H24" i="22"/>
  <c r="H47" i="25" s="1"/>
  <c r="G24" i="22"/>
  <c r="F24" i="22"/>
  <c r="J23" i="22"/>
  <c r="J46" i="25" s="1"/>
  <c r="I23" i="22"/>
  <c r="H23" i="22"/>
  <c r="H46" i="25" s="1"/>
  <c r="G23" i="22"/>
  <c r="G46" i="25" s="1"/>
  <c r="F23" i="22"/>
  <c r="F46" i="25" s="1"/>
  <c r="J22" i="22"/>
  <c r="I22" i="22"/>
  <c r="I45" i="25" s="1"/>
  <c r="H22" i="22"/>
  <c r="H45" i="25" s="1"/>
  <c r="G22" i="22"/>
  <c r="F22" i="22"/>
  <c r="J20" i="22"/>
  <c r="J71" i="22" s="1"/>
  <c r="I20" i="22"/>
  <c r="I29" i="23" s="1"/>
  <c r="H20" i="22"/>
  <c r="G20" i="22"/>
  <c r="G71" i="22" s="1"/>
  <c r="G91" i="22" s="1"/>
  <c r="F20" i="22"/>
  <c r="F71" i="22" s="1"/>
  <c r="A16" i="22"/>
  <c r="A16" i="23" s="1"/>
  <c r="A24" i="23" s="1"/>
  <c r="A40" i="23" s="1"/>
  <c r="A5" i="24" s="1"/>
  <c r="A16" i="25" s="1"/>
  <c r="H20" i="21"/>
  <c r="G20" i="21"/>
  <c r="F20" i="21"/>
  <c r="H19" i="21"/>
  <c r="G19" i="21"/>
  <c r="F19" i="21"/>
  <c r="H18" i="21"/>
  <c r="G18" i="21"/>
  <c r="F18" i="21"/>
  <c r="H17" i="21"/>
  <c r="G17" i="21"/>
  <c r="F17" i="21"/>
  <c r="H16" i="21"/>
  <c r="G16" i="21"/>
  <c r="F16" i="21"/>
  <c r="H15" i="21"/>
  <c r="G15" i="21"/>
  <c r="F15" i="21"/>
  <c r="H14" i="21"/>
  <c r="G14" i="21"/>
  <c r="F14" i="21"/>
  <c r="H13" i="21"/>
  <c r="G13" i="21"/>
  <c r="F13" i="21"/>
  <c r="H12" i="21"/>
  <c r="G12" i="21"/>
  <c r="F12" i="21"/>
  <c r="H11" i="21"/>
  <c r="G11" i="21"/>
  <c r="F11" i="21"/>
  <c r="H10" i="21"/>
  <c r="G10" i="21"/>
  <c r="F10" i="21"/>
  <c r="H9" i="21"/>
  <c r="G9" i="21"/>
  <c r="F9" i="21"/>
  <c r="H8" i="21"/>
  <c r="G8" i="21"/>
  <c r="F8" i="21"/>
  <c r="H7" i="21"/>
  <c r="G7" i="21"/>
  <c r="F7" i="21"/>
  <c r="H6" i="21"/>
  <c r="G6" i="21"/>
  <c r="F6" i="21"/>
  <c r="H5" i="21"/>
  <c r="G5" i="21"/>
  <c r="F5" i="21"/>
  <c r="H4" i="21"/>
  <c r="G4" i="21"/>
  <c r="F4" i="21"/>
  <c r="H3" i="21"/>
  <c r="G3" i="21"/>
  <c r="F3" i="21"/>
  <c r="H20" i="18"/>
  <c r="G20" i="18"/>
  <c r="F20" i="18"/>
  <c r="H19" i="18"/>
  <c r="G19" i="18"/>
  <c r="F19" i="18"/>
  <c r="H18" i="18"/>
  <c r="G18" i="18"/>
  <c r="F18" i="18"/>
  <c r="H17" i="18"/>
  <c r="G17" i="18"/>
  <c r="F17" i="18"/>
  <c r="H16" i="18"/>
  <c r="G16" i="18"/>
  <c r="F16" i="18"/>
  <c r="H15" i="18"/>
  <c r="G15" i="18"/>
  <c r="F15" i="18"/>
  <c r="H14" i="18"/>
  <c r="G14" i="18"/>
  <c r="F14" i="18"/>
  <c r="H13" i="18"/>
  <c r="G13" i="18"/>
  <c r="F13" i="18"/>
  <c r="H12" i="18"/>
  <c r="G12" i="18"/>
  <c r="F12" i="18"/>
  <c r="H11" i="18"/>
  <c r="G11" i="18"/>
  <c r="F11" i="18"/>
  <c r="H10" i="18"/>
  <c r="G10" i="18"/>
  <c r="F10" i="18"/>
  <c r="H9" i="18"/>
  <c r="G9" i="18"/>
  <c r="F9" i="18"/>
  <c r="H8" i="18"/>
  <c r="G8" i="18"/>
  <c r="F8" i="18"/>
  <c r="H7" i="18"/>
  <c r="G7" i="18"/>
  <c r="F7" i="18"/>
  <c r="H6" i="18"/>
  <c r="G6" i="18"/>
  <c r="F6" i="18"/>
  <c r="H5" i="18"/>
  <c r="G5" i="18"/>
  <c r="F5" i="18"/>
  <c r="H4" i="18"/>
  <c r="G4" i="18"/>
  <c r="F4" i="18"/>
  <c r="H3" i="18"/>
  <c r="G3" i="18"/>
  <c r="F3" i="18"/>
  <c r="H20" i="17"/>
  <c r="G20" i="17"/>
  <c r="F20" i="17"/>
  <c r="H19" i="17"/>
  <c r="G19" i="17"/>
  <c r="F19" i="17"/>
  <c r="H18" i="17"/>
  <c r="G18" i="17"/>
  <c r="F18" i="17"/>
  <c r="H17" i="17"/>
  <c r="G17" i="17"/>
  <c r="F17" i="17"/>
  <c r="H16" i="17"/>
  <c r="G16" i="17"/>
  <c r="F16" i="17"/>
  <c r="H15" i="17"/>
  <c r="G15" i="17"/>
  <c r="F15" i="17"/>
  <c r="H14" i="17"/>
  <c r="G14" i="17"/>
  <c r="F14" i="17"/>
  <c r="H13" i="17"/>
  <c r="G13" i="17"/>
  <c r="F13" i="17"/>
  <c r="H12" i="17"/>
  <c r="G12" i="17"/>
  <c r="F12" i="17"/>
  <c r="H11" i="17"/>
  <c r="G11" i="17"/>
  <c r="F11" i="17"/>
  <c r="H10" i="17"/>
  <c r="G10" i="17"/>
  <c r="F10" i="17"/>
  <c r="H9" i="17"/>
  <c r="G9" i="17"/>
  <c r="F9" i="17"/>
  <c r="H8" i="17"/>
  <c r="G8" i="17"/>
  <c r="F8" i="17"/>
  <c r="H7" i="17"/>
  <c r="G7" i="17"/>
  <c r="F7" i="17"/>
  <c r="H6" i="17"/>
  <c r="G6" i="17"/>
  <c r="F6" i="17"/>
  <c r="H5" i="17"/>
  <c r="G5" i="17"/>
  <c r="F5" i="17"/>
  <c r="H4" i="17"/>
  <c r="G4" i="17"/>
  <c r="F4" i="17"/>
  <c r="H3" i="17"/>
  <c r="G3" i="17"/>
  <c r="F3" i="17"/>
  <c r="H20" i="16"/>
  <c r="G20" i="16"/>
  <c r="F20" i="16"/>
  <c r="H19" i="16"/>
  <c r="G19" i="16"/>
  <c r="F19" i="16"/>
  <c r="H18" i="16"/>
  <c r="G18" i="16"/>
  <c r="F18" i="16"/>
  <c r="H17" i="16"/>
  <c r="G17" i="16"/>
  <c r="F17" i="16"/>
  <c r="H16" i="16"/>
  <c r="G16" i="16"/>
  <c r="F16" i="16"/>
  <c r="H15" i="16"/>
  <c r="G15" i="16"/>
  <c r="F15" i="16"/>
  <c r="H14" i="16"/>
  <c r="G14" i="16"/>
  <c r="F14" i="16"/>
  <c r="H13" i="16"/>
  <c r="G13" i="16"/>
  <c r="F13" i="16"/>
  <c r="H12" i="16"/>
  <c r="G12" i="16"/>
  <c r="F12" i="16"/>
  <c r="H11" i="16"/>
  <c r="G11" i="16"/>
  <c r="F11" i="16"/>
  <c r="H10" i="16"/>
  <c r="G10" i="16"/>
  <c r="F10" i="16"/>
  <c r="H9" i="16"/>
  <c r="G9" i="16"/>
  <c r="F9" i="16"/>
  <c r="H8" i="16"/>
  <c r="G8" i="16"/>
  <c r="F8" i="16"/>
  <c r="H7" i="16"/>
  <c r="G7" i="16"/>
  <c r="F7" i="16"/>
  <c r="H6" i="16"/>
  <c r="G6" i="16"/>
  <c r="F6" i="16"/>
  <c r="H5" i="16"/>
  <c r="G5" i="16"/>
  <c r="F5" i="16"/>
  <c r="H4" i="16"/>
  <c r="G4" i="16"/>
  <c r="F4" i="16"/>
  <c r="H3" i="16"/>
  <c r="G3" i="16"/>
  <c r="F3" i="16"/>
  <c r="H20" i="15"/>
  <c r="G20" i="15"/>
  <c r="F20" i="15"/>
  <c r="H19" i="15"/>
  <c r="G19" i="15"/>
  <c r="F19" i="15"/>
  <c r="H18" i="15"/>
  <c r="G18" i="15"/>
  <c r="F18" i="15"/>
  <c r="H17" i="15"/>
  <c r="G17" i="15"/>
  <c r="F17" i="15"/>
  <c r="H16" i="15"/>
  <c r="G16" i="15"/>
  <c r="F16" i="15"/>
  <c r="H15" i="15"/>
  <c r="G15" i="15"/>
  <c r="F15" i="15"/>
  <c r="H14" i="15"/>
  <c r="G14" i="15"/>
  <c r="F14" i="15"/>
  <c r="H13" i="15"/>
  <c r="G13" i="15"/>
  <c r="F13" i="15"/>
  <c r="H12" i="15"/>
  <c r="G12" i="15"/>
  <c r="F12" i="15"/>
  <c r="H11" i="15"/>
  <c r="G11" i="15"/>
  <c r="F11" i="15"/>
  <c r="H10" i="15"/>
  <c r="G10" i="15"/>
  <c r="F10" i="15"/>
  <c r="H9" i="15"/>
  <c r="G9" i="15"/>
  <c r="F9" i="15"/>
  <c r="H8" i="15"/>
  <c r="G8" i="15"/>
  <c r="F8" i="15"/>
  <c r="H7" i="15"/>
  <c r="G7" i="15"/>
  <c r="F7" i="15"/>
  <c r="H6" i="15"/>
  <c r="G6" i="15"/>
  <c r="F6" i="15"/>
  <c r="H5" i="15"/>
  <c r="G5" i="15"/>
  <c r="F5" i="15"/>
  <c r="H4" i="15"/>
  <c r="G4" i="15"/>
  <c r="F4" i="15"/>
  <c r="H3" i="15"/>
  <c r="G3" i="15"/>
  <c r="F3" i="15"/>
  <c r="N77" i="22" l="1"/>
  <c r="J75" i="22"/>
  <c r="O75" i="22" s="1"/>
  <c r="I47" i="23"/>
  <c r="F24" i="27"/>
  <c r="F14" i="26"/>
  <c r="F17" i="26" s="1"/>
  <c r="J70" i="23"/>
  <c r="F24" i="26"/>
  <c r="G34" i="22"/>
  <c r="G57" i="25" s="1"/>
  <c r="H34" i="22"/>
  <c r="H57" i="23" s="1"/>
  <c r="F81" i="23"/>
  <c r="H100" i="23"/>
  <c r="F29" i="23"/>
  <c r="S20" i="23" s="1"/>
  <c r="L82" i="22"/>
  <c r="N80" i="22"/>
  <c r="J84" i="27"/>
  <c r="J94" i="27" s="1"/>
  <c r="J84" i="26"/>
  <c r="J94" i="26" s="1"/>
  <c r="K70" i="23"/>
  <c r="L70" i="23" s="1"/>
  <c r="M70" i="23" s="1"/>
  <c r="N70" i="23" s="1"/>
  <c r="O70" i="23" s="1"/>
  <c r="I102" i="25"/>
  <c r="O73" i="22"/>
  <c r="N74" i="22"/>
  <c r="F75" i="22"/>
  <c r="K75" i="22" s="1"/>
  <c r="K80" i="22"/>
  <c r="F62" i="23"/>
  <c r="H66" i="23"/>
  <c r="G78" i="23"/>
  <c r="F70" i="25"/>
  <c r="M76" i="22"/>
  <c r="H45" i="23"/>
  <c r="G53" i="23"/>
  <c r="F63" i="23"/>
  <c r="J69" i="23"/>
  <c r="K69" i="23" s="1"/>
  <c r="L69" i="23" s="1"/>
  <c r="M69" i="23" s="1"/>
  <c r="J94" i="23"/>
  <c r="J79" i="25"/>
  <c r="K74" i="22"/>
  <c r="G64" i="23"/>
  <c r="K72" i="23"/>
  <c r="L72" i="23" s="1"/>
  <c r="M72" i="23" s="1"/>
  <c r="N72" i="23" s="1"/>
  <c r="O72" i="23" s="1"/>
  <c r="O74" i="22"/>
  <c r="K82" i="22"/>
  <c r="O82" i="22"/>
  <c r="J48" i="23"/>
  <c r="K48" i="23" s="1"/>
  <c r="L48" i="23" s="1"/>
  <c r="M48" i="23" s="1"/>
  <c r="N48" i="23" s="1"/>
  <c r="O48" i="23" s="1"/>
  <c r="I56" i="23"/>
  <c r="H65" i="23"/>
  <c r="G71" i="23"/>
  <c r="I82" i="23"/>
  <c r="A5" i="26"/>
  <c r="A5" i="27" s="1"/>
  <c r="A24" i="25"/>
  <c r="A40" i="25" s="1"/>
  <c r="J45" i="25"/>
  <c r="J45" i="23"/>
  <c r="J27" i="22"/>
  <c r="G47" i="25"/>
  <c r="G47" i="23"/>
  <c r="G63" i="25"/>
  <c r="G63" i="23"/>
  <c r="G72" i="25"/>
  <c r="G72" i="23"/>
  <c r="J111" i="25"/>
  <c r="J111" i="23"/>
  <c r="K34" i="25"/>
  <c r="J37" i="24"/>
  <c r="G45" i="25"/>
  <c r="G45" i="23"/>
  <c r="G27" i="22"/>
  <c r="H83" i="23"/>
  <c r="H83" i="25" s="1"/>
  <c r="H29" i="23"/>
  <c r="H71" i="22"/>
  <c r="I46" i="25"/>
  <c r="I46" i="23"/>
  <c r="F47" i="25"/>
  <c r="F47" i="23"/>
  <c r="J47" i="25"/>
  <c r="J47" i="23"/>
  <c r="G49" i="25"/>
  <c r="G49" i="23"/>
  <c r="I27" i="22"/>
  <c r="H53" i="23"/>
  <c r="F54" i="25"/>
  <c r="F54" i="23"/>
  <c r="J54" i="25"/>
  <c r="J54" i="23"/>
  <c r="K54" i="23" s="1"/>
  <c r="H55" i="25"/>
  <c r="F56" i="25"/>
  <c r="F56" i="23"/>
  <c r="J56" i="23"/>
  <c r="K56" i="23" s="1"/>
  <c r="L56" i="23" s="1"/>
  <c r="M56" i="23" s="1"/>
  <c r="N56" i="23" s="1"/>
  <c r="O56" i="23" s="1"/>
  <c r="I69" i="25"/>
  <c r="I69" i="23"/>
  <c r="G70" i="25"/>
  <c r="G70" i="23"/>
  <c r="I71" i="22"/>
  <c r="F96" i="25"/>
  <c r="K76" i="22"/>
  <c r="J96" i="25"/>
  <c r="J96" i="23"/>
  <c r="O76" i="22"/>
  <c r="F78" i="22"/>
  <c r="G100" i="25"/>
  <c r="G100" i="23"/>
  <c r="L80" i="22"/>
  <c r="H101" i="25"/>
  <c r="H101" i="23"/>
  <c r="M81" i="22"/>
  <c r="H46" i="23"/>
  <c r="F96" i="23"/>
  <c r="H53" i="25"/>
  <c r="I29" i="25"/>
  <c r="I43" i="23"/>
  <c r="V20" i="23"/>
  <c r="I62" i="25"/>
  <c r="I62" i="23"/>
  <c r="I44" i="22"/>
  <c r="J78" i="22"/>
  <c r="F111" i="25"/>
  <c r="F111" i="23"/>
  <c r="J91" i="25"/>
  <c r="J110" i="25" s="1"/>
  <c r="J116" i="25" s="1"/>
  <c r="J91" i="23"/>
  <c r="J110" i="23" s="1"/>
  <c r="J116" i="23" s="1"/>
  <c r="J91" i="22"/>
  <c r="G65" i="25"/>
  <c r="G65" i="23"/>
  <c r="G44" i="22"/>
  <c r="F78" i="25"/>
  <c r="F78" i="23"/>
  <c r="F80" i="23"/>
  <c r="F80" i="25" s="1"/>
  <c r="H81" i="25"/>
  <c r="H81" i="23"/>
  <c r="J82" i="23"/>
  <c r="K83" i="23" s="1"/>
  <c r="J82" i="25"/>
  <c r="K83" i="25" s="1"/>
  <c r="G94" i="25"/>
  <c r="G94" i="23"/>
  <c r="L74" i="22"/>
  <c r="J97" i="25"/>
  <c r="J97" i="23"/>
  <c r="O77" i="22"/>
  <c r="F105" i="25"/>
  <c r="F105" i="23"/>
  <c r="K85" i="22"/>
  <c r="J105" i="25"/>
  <c r="J105" i="23"/>
  <c r="O85" i="22"/>
  <c r="S95" i="22"/>
  <c r="F29" i="25"/>
  <c r="F43" i="23"/>
  <c r="J49" i="23"/>
  <c r="K49" i="23" s="1"/>
  <c r="L49" i="23" s="1"/>
  <c r="M49" i="23" s="1"/>
  <c r="N49" i="23" s="1"/>
  <c r="O49" i="23" s="1"/>
  <c r="F27" i="22"/>
  <c r="F45" i="25"/>
  <c r="F45" i="23"/>
  <c r="I71" i="25"/>
  <c r="I71" i="23"/>
  <c r="F91" i="25"/>
  <c r="F110" i="25" s="1"/>
  <c r="F116" i="25" s="1"/>
  <c r="F91" i="23"/>
  <c r="F110" i="23" s="1"/>
  <c r="F116" i="23" s="1"/>
  <c r="F91" i="22"/>
  <c r="H48" i="25"/>
  <c r="H48" i="23"/>
  <c r="H57" i="25"/>
  <c r="I64" i="25"/>
  <c r="I64" i="23"/>
  <c r="J78" i="25"/>
  <c r="K78" i="25" s="1"/>
  <c r="J78" i="23"/>
  <c r="H79" i="25"/>
  <c r="H79" i="23"/>
  <c r="J80" i="23"/>
  <c r="F82" i="23"/>
  <c r="F82" i="25"/>
  <c r="F61" i="22"/>
  <c r="K56" i="22" s="1"/>
  <c r="F97" i="25"/>
  <c r="F97" i="23"/>
  <c r="K77" i="22"/>
  <c r="G91" i="25"/>
  <c r="G110" i="25" s="1"/>
  <c r="G116" i="25" s="1"/>
  <c r="G91" i="23"/>
  <c r="G110" i="23" s="1"/>
  <c r="G116" i="23" s="1"/>
  <c r="I48" i="25"/>
  <c r="I48" i="23"/>
  <c r="H27" i="22"/>
  <c r="F52" i="25"/>
  <c r="F34" i="22"/>
  <c r="J52" i="25"/>
  <c r="J52" i="23"/>
  <c r="K52" i="23" s="1"/>
  <c r="J34" i="22"/>
  <c r="I66" i="25"/>
  <c r="I66" i="23"/>
  <c r="I50" i="22"/>
  <c r="J61" i="22"/>
  <c r="O55" i="22" s="1"/>
  <c r="A67" i="22"/>
  <c r="G93" i="25"/>
  <c r="G93" i="23"/>
  <c r="G75" i="22"/>
  <c r="L73" i="22"/>
  <c r="L81" i="22"/>
  <c r="H102" i="25"/>
  <c r="H102" i="23"/>
  <c r="M82" i="22"/>
  <c r="I33" i="25"/>
  <c r="I34" i="23"/>
  <c r="I34" i="25" s="1"/>
  <c r="H55" i="23"/>
  <c r="H112" i="23"/>
  <c r="F49" i="25"/>
  <c r="G54" i="25"/>
  <c r="G54" i="23"/>
  <c r="I34" i="22"/>
  <c r="F115" i="27"/>
  <c r="F174" i="27" s="1"/>
  <c r="F35" i="27"/>
  <c r="K20" i="22"/>
  <c r="F44" i="22"/>
  <c r="J44" i="22"/>
  <c r="H71" i="25"/>
  <c r="H71" i="23"/>
  <c r="F72" i="25"/>
  <c r="F72" i="23"/>
  <c r="H50" i="22"/>
  <c r="I78" i="25"/>
  <c r="I78" i="23"/>
  <c r="G79" i="25"/>
  <c r="G79" i="23"/>
  <c r="O56" i="22"/>
  <c r="G81" i="23"/>
  <c r="G81" i="25"/>
  <c r="K58" i="22"/>
  <c r="I61" i="22"/>
  <c r="N56" i="22" s="1"/>
  <c r="F93" i="25"/>
  <c r="F95" i="25" s="1"/>
  <c r="F93" i="23"/>
  <c r="J93" i="25"/>
  <c r="J95" i="25" s="1"/>
  <c r="J93" i="23"/>
  <c r="N73" i="22"/>
  <c r="I75" i="22"/>
  <c r="I96" i="25"/>
  <c r="I96" i="23"/>
  <c r="I97" i="25"/>
  <c r="I97" i="23"/>
  <c r="M77" i="22"/>
  <c r="F100" i="25"/>
  <c r="F100" i="23"/>
  <c r="J100" i="25"/>
  <c r="J100" i="23"/>
  <c r="G101" i="25"/>
  <c r="G101" i="23"/>
  <c r="K81" i="22"/>
  <c r="O81" i="22"/>
  <c r="G102" i="25"/>
  <c r="G102" i="23"/>
  <c r="I105" i="25"/>
  <c r="I105" i="23"/>
  <c r="M85" i="22"/>
  <c r="G112" i="25"/>
  <c r="G112" i="23"/>
  <c r="J29" i="23"/>
  <c r="H33" i="25"/>
  <c r="H34" i="23"/>
  <c r="H34" i="25" s="1"/>
  <c r="G46" i="23"/>
  <c r="H47" i="23"/>
  <c r="I49" i="23"/>
  <c r="F53" i="23"/>
  <c r="G55" i="23"/>
  <c r="H56" i="23"/>
  <c r="J62" i="23"/>
  <c r="J63" i="23"/>
  <c r="K63" i="23" s="1"/>
  <c r="L63" i="23" s="1"/>
  <c r="M63" i="23" s="1"/>
  <c r="N63" i="23" s="1"/>
  <c r="O63" i="23" s="1"/>
  <c r="F64" i="23"/>
  <c r="F65" i="23"/>
  <c r="G66" i="23"/>
  <c r="H69" i="23"/>
  <c r="I70" i="23"/>
  <c r="F71" i="23"/>
  <c r="G80" i="23"/>
  <c r="G80" i="25" s="1"/>
  <c r="H82" i="23"/>
  <c r="F94" i="23"/>
  <c r="H97" i="23"/>
  <c r="J101" i="23"/>
  <c r="J72" i="25"/>
  <c r="I93" i="25"/>
  <c r="I111" i="25"/>
  <c r="F27" i="26"/>
  <c r="I55" i="25"/>
  <c r="I55" i="23"/>
  <c r="H44" i="22"/>
  <c r="F50" i="22"/>
  <c r="J50" i="22"/>
  <c r="G82" i="25"/>
  <c r="G82" i="23"/>
  <c r="G61" i="22"/>
  <c r="L59" i="22" s="1"/>
  <c r="H94" i="25"/>
  <c r="H95" i="25" s="1"/>
  <c r="H94" i="23"/>
  <c r="G96" i="23"/>
  <c r="G96" i="25"/>
  <c r="G97" i="25"/>
  <c r="G97" i="23"/>
  <c r="I101" i="25"/>
  <c r="I101" i="23"/>
  <c r="G105" i="25"/>
  <c r="G105" i="23"/>
  <c r="G111" i="25"/>
  <c r="G111" i="23"/>
  <c r="I112" i="25"/>
  <c r="I112" i="23"/>
  <c r="G29" i="23"/>
  <c r="I45" i="23"/>
  <c r="J46" i="23"/>
  <c r="K46" i="23" s="1"/>
  <c r="L46" i="23" s="1"/>
  <c r="M46" i="23" s="1"/>
  <c r="N46" i="23" s="1"/>
  <c r="O46" i="23" s="1"/>
  <c r="F48" i="23"/>
  <c r="H52" i="23"/>
  <c r="I54" i="23"/>
  <c r="J55" i="23"/>
  <c r="K55" i="23" s="1"/>
  <c r="L55" i="23" s="1"/>
  <c r="M55" i="23" s="1"/>
  <c r="N55" i="23" s="1"/>
  <c r="O55" i="23" s="1"/>
  <c r="G62" i="23"/>
  <c r="H63" i="23"/>
  <c r="H64" i="23"/>
  <c r="I65" i="23"/>
  <c r="J66" i="23"/>
  <c r="K66" i="23" s="1"/>
  <c r="L66" i="23" s="1"/>
  <c r="M66" i="23" s="1"/>
  <c r="N66" i="23" s="1"/>
  <c r="O66" i="23" s="1"/>
  <c r="F69" i="23"/>
  <c r="J71" i="23"/>
  <c r="K71" i="23" s="1"/>
  <c r="L71" i="23" s="1"/>
  <c r="M71" i="23" s="1"/>
  <c r="N71" i="23" s="1"/>
  <c r="O71" i="23" s="1"/>
  <c r="H72" i="23"/>
  <c r="I81" i="23"/>
  <c r="H93" i="23"/>
  <c r="G52" i="25"/>
  <c r="G52" i="23"/>
  <c r="I53" i="25"/>
  <c r="I53" i="23"/>
  <c r="G56" i="25"/>
  <c r="G56" i="23"/>
  <c r="G50" i="22"/>
  <c r="H78" i="25"/>
  <c r="H78" i="23"/>
  <c r="L55" i="22"/>
  <c r="F79" i="25"/>
  <c r="F79" i="23"/>
  <c r="N58" i="22"/>
  <c r="N60" i="22"/>
  <c r="H61" i="22"/>
  <c r="M60" i="22" s="1"/>
  <c r="M73" i="22"/>
  <c r="I94" i="25"/>
  <c r="I94" i="23"/>
  <c r="I95" i="23" s="1"/>
  <c r="M74" i="22"/>
  <c r="P74" i="22" s="1"/>
  <c r="S74" i="22" s="1"/>
  <c r="H75" i="22"/>
  <c r="H96" i="25"/>
  <c r="H96" i="23"/>
  <c r="L76" i="22"/>
  <c r="L77" i="22"/>
  <c r="I100" i="23"/>
  <c r="I100" i="25"/>
  <c r="M80" i="22"/>
  <c r="N81" i="22"/>
  <c r="F102" i="25"/>
  <c r="F102" i="23"/>
  <c r="J102" i="25"/>
  <c r="J102" i="23"/>
  <c r="N82" i="22"/>
  <c r="L85" i="22"/>
  <c r="H111" i="25"/>
  <c r="H111" i="23"/>
  <c r="F112" i="25"/>
  <c r="F112" i="23"/>
  <c r="J34" i="23"/>
  <c r="J34" i="25" s="1"/>
  <c r="F46" i="23"/>
  <c r="G48" i="23"/>
  <c r="H49" i="23"/>
  <c r="I52" i="23"/>
  <c r="J53" i="23"/>
  <c r="K53" i="23" s="1"/>
  <c r="L53" i="23" s="1"/>
  <c r="M53" i="23" s="1"/>
  <c r="N53" i="23" s="1"/>
  <c r="O53" i="23" s="1"/>
  <c r="F55" i="23"/>
  <c r="H62" i="23"/>
  <c r="I63" i="23"/>
  <c r="J64" i="23"/>
  <c r="K64" i="23" s="1"/>
  <c r="L64" i="23" s="1"/>
  <c r="M64" i="23" s="1"/>
  <c r="N64" i="23" s="1"/>
  <c r="O64" i="23" s="1"/>
  <c r="J65" i="23"/>
  <c r="K65" i="23" s="1"/>
  <c r="L65" i="23" s="1"/>
  <c r="M65" i="23" s="1"/>
  <c r="N65" i="23" s="1"/>
  <c r="O65" i="23" s="1"/>
  <c r="F66" i="23"/>
  <c r="G69" i="23"/>
  <c r="H70" i="23"/>
  <c r="I72" i="23"/>
  <c r="I79" i="23"/>
  <c r="J81" i="23"/>
  <c r="F101" i="23"/>
  <c r="H105" i="23"/>
  <c r="J112" i="23"/>
  <c r="F27" i="27"/>
  <c r="F29" i="27" s="1"/>
  <c r="L57" i="22" l="1"/>
  <c r="G57" i="23"/>
  <c r="F29" i="26"/>
  <c r="P80" i="22"/>
  <c r="G95" i="23"/>
  <c r="O57" i="22"/>
  <c r="K73" i="23"/>
  <c r="P73" i="22"/>
  <c r="S73" i="22" s="1"/>
  <c r="O60" i="22"/>
  <c r="O58" i="22"/>
  <c r="G95" i="25"/>
  <c r="K79" i="25"/>
  <c r="L79" i="25" s="1"/>
  <c r="M79" i="25" s="1"/>
  <c r="N79" i="25" s="1"/>
  <c r="O79" i="25" s="1"/>
  <c r="F98" i="25"/>
  <c r="K70" i="25"/>
  <c r="L70" i="25" s="1"/>
  <c r="M70" i="25" s="1"/>
  <c r="N70" i="25" s="1"/>
  <c r="O70" i="25" s="1"/>
  <c r="K46" i="25"/>
  <c r="L46" i="25" s="1"/>
  <c r="M46" i="25" s="1"/>
  <c r="N46" i="25" s="1"/>
  <c r="O46" i="25" s="1"/>
  <c r="K71" i="25"/>
  <c r="L71" i="25" s="1"/>
  <c r="M71" i="25" s="1"/>
  <c r="N71" i="25" s="1"/>
  <c r="O71" i="25" s="1"/>
  <c r="K64" i="25"/>
  <c r="L64" i="25" s="1"/>
  <c r="M64" i="25" s="1"/>
  <c r="N64" i="25" s="1"/>
  <c r="O64" i="25" s="1"/>
  <c r="I98" i="23"/>
  <c r="I104" i="23" s="1"/>
  <c r="I106" i="23" s="1"/>
  <c r="I118" i="23" s="1"/>
  <c r="I119" i="23" s="1"/>
  <c r="K56" i="25"/>
  <c r="L56" i="25" s="1"/>
  <c r="M56" i="25" s="1"/>
  <c r="N56" i="25" s="1"/>
  <c r="O56" i="25" s="1"/>
  <c r="H98" i="25"/>
  <c r="H104" i="25" s="1"/>
  <c r="H106" i="25" s="1"/>
  <c r="H118" i="25" s="1"/>
  <c r="H119" i="25" s="1"/>
  <c r="I95" i="25"/>
  <c r="I98" i="25" s="1"/>
  <c r="I104" i="25" s="1"/>
  <c r="I106" i="25" s="1"/>
  <c r="L73" i="23"/>
  <c r="P85" i="22"/>
  <c r="P82" i="22"/>
  <c r="K111" i="23"/>
  <c r="F65" i="26" s="1"/>
  <c r="F157" i="26" s="1"/>
  <c r="M57" i="22"/>
  <c r="J98" i="25"/>
  <c r="J104" i="25" s="1"/>
  <c r="J106" i="25" s="1"/>
  <c r="S76" i="22"/>
  <c r="U74" i="22"/>
  <c r="J15" i="24" s="1"/>
  <c r="I57" i="25"/>
  <c r="I57" i="23"/>
  <c r="K57" i="23"/>
  <c r="L52" i="23"/>
  <c r="K57" i="22"/>
  <c r="I67" i="25"/>
  <c r="I52" i="22"/>
  <c r="I67" i="23"/>
  <c r="E76" i="27"/>
  <c r="K47" i="25"/>
  <c r="H29" i="25"/>
  <c r="U20" i="23"/>
  <c r="H43" i="23"/>
  <c r="J50" i="25"/>
  <c r="J50" i="23"/>
  <c r="J36" i="22"/>
  <c r="O27" i="22" s="1"/>
  <c r="K112" i="25"/>
  <c r="L112" i="25" s="1"/>
  <c r="H78" i="22"/>
  <c r="M75" i="22"/>
  <c r="G73" i="25"/>
  <c r="G73" i="23"/>
  <c r="H95" i="23"/>
  <c r="H98" i="23" s="1"/>
  <c r="H104" i="23" s="1"/>
  <c r="H106" i="23" s="1"/>
  <c r="G29" i="25"/>
  <c r="T20" i="23"/>
  <c r="G43" i="23"/>
  <c r="G84" i="25"/>
  <c r="G84" i="23"/>
  <c r="L61" i="22"/>
  <c r="L60" i="22"/>
  <c r="L58" i="22"/>
  <c r="L56" i="22"/>
  <c r="F73" i="25"/>
  <c r="F73" i="23"/>
  <c r="K66" i="25"/>
  <c r="L66" i="25" s="1"/>
  <c r="M66" i="25" s="1"/>
  <c r="N66" i="25" s="1"/>
  <c r="O66" i="25" s="1"/>
  <c r="F115" i="26"/>
  <c r="F174" i="26" s="1"/>
  <c r="F35" i="26"/>
  <c r="K62" i="23"/>
  <c r="J95" i="23"/>
  <c r="J98" i="23" s="1"/>
  <c r="J104" i="23" s="1"/>
  <c r="J106" i="23" s="1"/>
  <c r="E38" i="24"/>
  <c r="K93" i="23"/>
  <c r="I84" i="25"/>
  <c r="I84" i="23"/>
  <c r="N59" i="22"/>
  <c r="N57" i="22"/>
  <c r="N55" i="22"/>
  <c r="N61" i="22"/>
  <c r="F67" i="25"/>
  <c r="F67" i="23"/>
  <c r="F52" i="22"/>
  <c r="K50" i="22" s="1"/>
  <c r="K55" i="25"/>
  <c r="L55" i="25" s="1"/>
  <c r="M55" i="25" s="1"/>
  <c r="N55" i="25" s="1"/>
  <c r="O55" i="25" s="1"/>
  <c r="K48" i="25"/>
  <c r="L48" i="25" s="1"/>
  <c r="M48" i="25" s="1"/>
  <c r="N48" i="25" s="1"/>
  <c r="O48" i="25" s="1"/>
  <c r="L75" i="22"/>
  <c r="G78" i="22"/>
  <c r="J84" i="25"/>
  <c r="F36" i="27" s="1"/>
  <c r="F43" i="27" s="1"/>
  <c r="J84" i="23"/>
  <c r="O61" i="22"/>
  <c r="J57" i="25"/>
  <c r="J57" i="23"/>
  <c r="L78" i="25"/>
  <c r="M73" i="23"/>
  <c r="N69" i="23"/>
  <c r="F43" i="25"/>
  <c r="S20" i="25"/>
  <c r="K55" i="22"/>
  <c r="I91" i="25"/>
  <c r="I110" i="25" s="1"/>
  <c r="I116" i="25" s="1"/>
  <c r="I91" i="23"/>
  <c r="I110" i="23" s="1"/>
  <c r="I116" i="23" s="1"/>
  <c r="I91" i="22"/>
  <c r="K54" i="25"/>
  <c r="I50" i="25"/>
  <c r="I50" i="23"/>
  <c r="I36" i="22"/>
  <c r="N34" i="22" s="1"/>
  <c r="E76" i="26"/>
  <c r="K47" i="23"/>
  <c r="H91" i="25"/>
  <c r="H110" i="25" s="1"/>
  <c r="H116" i="25" s="1"/>
  <c r="H91" i="23"/>
  <c r="H110" i="23" s="1"/>
  <c r="H116" i="23" s="1"/>
  <c r="H91" i="22"/>
  <c r="F11" i="26"/>
  <c r="F11" i="27" s="1"/>
  <c r="J43" i="23"/>
  <c r="J29" i="25"/>
  <c r="W20" i="23"/>
  <c r="K29" i="23"/>
  <c r="H73" i="23"/>
  <c r="H73" i="25"/>
  <c r="G98" i="23"/>
  <c r="G104" i="23" s="1"/>
  <c r="G106" i="23" s="1"/>
  <c r="F84" i="22"/>
  <c r="K78" i="22"/>
  <c r="K69" i="25"/>
  <c r="P81" i="22"/>
  <c r="I78" i="22"/>
  <c r="N75" i="22"/>
  <c r="F95" i="23"/>
  <c r="F98" i="23" s="1"/>
  <c r="F104" i="23" s="1"/>
  <c r="F106" i="23" s="1"/>
  <c r="K60" i="22"/>
  <c r="K53" i="25"/>
  <c r="L53" i="25" s="1"/>
  <c r="M53" i="25" s="1"/>
  <c r="N53" i="25" s="1"/>
  <c r="O53" i="25" s="1"/>
  <c r="K62" i="25"/>
  <c r="G98" i="25"/>
  <c r="G104" i="25" s="1"/>
  <c r="G106" i="25" s="1"/>
  <c r="I73" i="25"/>
  <c r="I73" i="23"/>
  <c r="K52" i="25"/>
  <c r="K49" i="25"/>
  <c r="L49" i="25" s="1"/>
  <c r="M49" i="25" s="1"/>
  <c r="N49" i="25" s="1"/>
  <c r="O49" i="25" s="1"/>
  <c r="P77" i="22"/>
  <c r="K59" i="22"/>
  <c r="J80" i="25"/>
  <c r="K80" i="25" s="1"/>
  <c r="L80" i="25" s="1"/>
  <c r="M80" i="25" s="1"/>
  <c r="N80" i="25" s="1"/>
  <c r="O80" i="25" s="1"/>
  <c r="K80" i="23"/>
  <c r="L80" i="23" s="1"/>
  <c r="M80" i="23" s="1"/>
  <c r="N80" i="23" s="1"/>
  <c r="O80" i="23" s="1"/>
  <c r="F50" i="25"/>
  <c r="K27" i="22"/>
  <c r="F50" i="23"/>
  <c r="F36" i="22"/>
  <c r="K34" i="22" s="1"/>
  <c r="M58" i="22"/>
  <c r="G67" i="25"/>
  <c r="G67" i="23"/>
  <c r="G52" i="22"/>
  <c r="K111" i="25"/>
  <c r="L111" i="25" s="1"/>
  <c r="V20" i="25"/>
  <c r="I43" i="25"/>
  <c r="K63" i="25"/>
  <c r="L63" i="25" s="1"/>
  <c r="M63" i="25" s="1"/>
  <c r="N63" i="25" s="1"/>
  <c r="O63" i="25" s="1"/>
  <c r="F114" i="26"/>
  <c r="F173" i="26" s="1"/>
  <c r="K45" i="23"/>
  <c r="K71" i="22"/>
  <c r="L20" i="22"/>
  <c r="H50" i="25"/>
  <c r="H59" i="25" s="1"/>
  <c r="H50" i="23"/>
  <c r="H59" i="23" s="1"/>
  <c r="H36" i="22"/>
  <c r="M27" i="22" s="1"/>
  <c r="F84" i="25"/>
  <c r="F84" i="23"/>
  <c r="K61" i="22"/>
  <c r="P76" i="22"/>
  <c r="G50" i="25"/>
  <c r="G59" i="25" s="1"/>
  <c r="G36" i="22"/>
  <c r="L27" i="22" s="1"/>
  <c r="G50" i="23"/>
  <c r="G59" i="23" s="1"/>
  <c r="K112" i="23"/>
  <c r="F66" i="26" s="1"/>
  <c r="F158" i="26" s="1"/>
  <c r="H84" i="25"/>
  <c r="H84" i="23"/>
  <c r="M61" i="22"/>
  <c r="J73" i="25"/>
  <c r="J73" i="23"/>
  <c r="H67" i="25"/>
  <c r="H52" i="22"/>
  <c r="H67" i="23"/>
  <c r="K72" i="25"/>
  <c r="L72" i="25" s="1"/>
  <c r="M72" i="25" s="1"/>
  <c r="N72" i="25" s="1"/>
  <c r="O72" i="25" s="1"/>
  <c r="F104" i="25"/>
  <c r="F106" i="25" s="1"/>
  <c r="M59" i="22"/>
  <c r="J67" i="25"/>
  <c r="J67" i="23"/>
  <c r="J52" i="22"/>
  <c r="K65" i="25"/>
  <c r="L65" i="25" s="1"/>
  <c r="M65" i="25" s="1"/>
  <c r="N65" i="25" s="1"/>
  <c r="O65" i="25" s="1"/>
  <c r="F57" i="25"/>
  <c r="F57" i="23"/>
  <c r="M56" i="22"/>
  <c r="L78" i="23"/>
  <c r="M78" i="23"/>
  <c r="K78" i="23"/>
  <c r="N78" i="23"/>
  <c r="O78" i="23"/>
  <c r="O59" i="22"/>
  <c r="J84" i="22"/>
  <c r="O78" i="22"/>
  <c r="M55" i="22"/>
  <c r="F71" i="26"/>
  <c r="L54" i="23"/>
  <c r="F114" i="27"/>
  <c r="F173" i="27" s="1"/>
  <c r="K45" i="25"/>
  <c r="G75" i="25" l="1"/>
  <c r="G86" i="25" s="1"/>
  <c r="G88" i="25" s="1"/>
  <c r="F75" i="25"/>
  <c r="I59" i="23"/>
  <c r="S77" i="22"/>
  <c r="S81" i="22" s="1"/>
  <c r="F42" i="27"/>
  <c r="H75" i="25"/>
  <c r="H86" i="25" s="1"/>
  <c r="H88" i="25" s="1"/>
  <c r="L111" i="23"/>
  <c r="G65" i="26" s="1"/>
  <c r="G157" i="26" s="1"/>
  <c r="F59" i="25"/>
  <c r="F117" i="25" s="1"/>
  <c r="G75" i="23"/>
  <c r="G86" i="23" s="1"/>
  <c r="G88" i="23" s="1"/>
  <c r="P75" i="22"/>
  <c r="L112" i="23"/>
  <c r="G66" i="26" s="1"/>
  <c r="G158" i="26" s="1"/>
  <c r="I59" i="25"/>
  <c r="G157" i="27"/>
  <c r="G65" i="27"/>
  <c r="M111" i="25"/>
  <c r="N111" i="25" s="1"/>
  <c r="F113" i="26"/>
  <c r="F172" i="26" s="1"/>
  <c r="J75" i="23"/>
  <c r="J86" i="23" s="1"/>
  <c r="M48" i="22"/>
  <c r="M39" i="22"/>
  <c r="M46" i="22"/>
  <c r="M43" i="22"/>
  <c r="M41" i="22"/>
  <c r="H63" i="22"/>
  <c r="H65" i="22" s="1"/>
  <c r="M42" i="22"/>
  <c r="M49" i="22"/>
  <c r="M40" i="22"/>
  <c r="M47" i="22"/>
  <c r="L52" i="25"/>
  <c r="K57" i="25"/>
  <c r="F76" i="26"/>
  <c r="F70" i="26" s="1"/>
  <c r="F72" i="26" s="1"/>
  <c r="L47" i="23"/>
  <c r="I63" i="22"/>
  <c r="I65" i="22" s="1"/>
  <c r="N46" i="22"/>
  <c r="N48" i="22"/>
  <c r="N43" i="22"/>
  <c r="N40" i="22"/>
  <c r="N42" i="22"/>
  <c r="N49" i="22"/>
  <c r="N41" i="22"/>
  <c r="N39" i="22"/>
  <c r="N47" i="22"/>
  <c r="G71" i="26"/>
  <c r="M54" i="23"/>
  <c r="F113" i="27"/>
  <c r="F172" i="27" s="1"/>
  <c r="J75" i="25"/>
  <c r="J86" i="25" s="1"/>
  <c r="J63" i="22"/>
  <c r="J65" i="22" s="1"/>
  <c r="O42" i="22"/>
  <c r="O49" i="22"/>
  <c r="O40" i="22"/>
  <c r="O47" i="22"/>
  <c r="O39" i="22"/>
  <c r="O48" i="22"/>
  <c r="O41" i="22"/>
  <c r="O46" i="22"/>
  <c r="O43" i="22"/>
  <c r="F118" i="25"/>
  <c r="F119" i="25" s="1"/>
  <c r="H75" i="23"/>
  <c r="H86" i="23" s="1"/>
  <c r="H88" i="23" s="1"/>
  <c r="O50" i="22"/>
  <c r="L32" i="22"/>
  <c r="L30" i="22"/>
  <c r="L23" i="22"/>
  <c r="L25" i="22"/>
  <c r="L29" i="22"/>
  <c r="L26" i="22"/>
  <c r="L24" i="22"/>
  <c r="L33" i="22"/>
  <c r="L34" i="22"/>
  <c r="L31" i="22"/>
  <c r="L22" i="22"/>
  <c r="F59" i="23"/>
  <c r="F117" i="23" s="1"/>
  <c r="N78" i="22"/>
  <c r="I84" i="22"/>
  <c r="N22" i="22"/>
  <c r="N26" i="22"/>
  <c r="N31" i="22"/>
  <c r="N24" i="22"/>
  <c r="N33" i="22"/>
  <c r="N29" i="22"/>
  <c r="N30" i="22"/>
  <c r="N25" i="22"/>
  <c r="N32" i="22"/>
  <c r="N23" i="22"/>
  <c r="M78" i="25"/>
  <c r="G84" i="22"/>
  <c r="L78" i="22"/>
  <c r="K44" i="22"/>
  <c r="J118" i="23"/>
  <c r="J119" i="23" s="1"/>
  <c r="M111" i="23"/>
  <c r="I118" i="25"/>
  <c r="I119" i="25" s="1"/>
  <c r="J59" i="25"/>
  <c r="F76" i="27"/>
  <c r="F70" i="27" s="1"/>
  <c r="L47" i="25"/>
  <c r="N44" i="22"/>
  <c r="L57" i="23"/>
  <c r="M52" i="23"/>
  <c r="F44" i="27"/>
  <c r="F142" i="26"/>
  <c r="G35" i="26"/>
  <c r="K67" i="23"/>
  <c r="K75" i="23" s="1"/>
  <c r="F132" i="26" s="1"/>
  <c r="L62" i="23"/>
  <c r="G43" i="25"/>
  <c r="T20" i="25"/>
  <c r="F118" i="23"/>
  <c r="F119" i="23" s="1"/>
  <c r="K84" i="22"/>
  <c r="F86" i="22"/>
  <c r="K86" i="22" s="1"/>
  <c r="N73" i="23"/>
  <c r="O69" i="23"/>
  <c r="O73" i="23" s="1"/>
  <c r="F118" i="27"/>
  <c r="F36" i="26"/>
  <c r="F43" i="26" s="1"/>
  <c r="F118" i="26"/>
  <c r="F75" i="23"/>
  <c r="F86" i="23" s="1"/>
  <c r="K101" i="23"/>
  <c r="K96" i="23"/>
  <c r="K94" i="23"/>
  <c r="K95" i="23" s="1"/>
  <c r="K105" i="23"/>
  <c r="K102" i="23"/>
  <c r="F59" i="26" s="1"/>
  <c r="K100" i="23"/>
  <c r="K97" i="23"/>
  <c r="L93" i="23"/>
  <c r="H118" i="23"/>
  <c r="H119" i="23" s="1"/>
  <c r="H117" i="23"/>
  <c r="F158" i="27"/>
  <c r="F66" i="27"/>
  <c r="I75" i="25"/>
  <c r="I86" i="25" s="1"/>
  <c r="G66" i="27"/>
  <c r="G158" i="27"/>
  <c r="F157" i="27"/>
  <c r="F65" i="27"/>
  <c r="G117" i="25"/>
  <c r="G118" i="25"/>
  <c r="G119" i="25" s="1"/>
  <c r="M50" i="22"/>
  <c r="J43" i="25"/>
  <c r="W20" i="25"/>
  <c r="F63" i="22"/>
  <c r="F65" i="22" s="1"/>
  <c r="K42" i="22"/>
  <c r="K49" i="22"/>
  <c r="K40" i="22"/>
  <c r="K47" i="22"/>
  <c r="K43" i="22"/>
  <c r="K48" i="22"/>
  <c r="K41" i="22"/>
  <c r="K39" i="22"/>
  <c r="K46" i="22"/>
  <c r="O26" i="22"/>
  <c r="O22" i="22"/>
  <c r="O29" i="22"/>
  <c r="O25" i="22"/>
  <c r="O30" i="22"/>
  <c r="O31" i="22"/>
  <c r="O24" i="22"/>
  <c r="O23" i="22"/>
  <c r="O33" i="22"/>
  <c r="O32" i="22"/>
  <c r="J118" i="25"/>
  <c r="J119" i="25" s="1"/>
  <c r="J117" i="25"/>
  <c r="O84" i="22"/>
  <c r="J86" i="22"/>
  <c r="G63" i="22"/>
  <c r="G65" i="22" s="1"/>
  <c r="L40" i="22"/>
  <c r="L42" i="22"/>
  <c r="L39" i="22"/>
  <c r="L46" i="22"/>
  <c r="L43" i="22"/>
  <c r="L49" i="22"/>
  <c r="L47" i="22"/>
  <c r="L41" i="22"/>
  <c r="L48" i="22"/>
  <c r="N50" i="22"/>
  <c r="L45" i="25"/>
  <c r="K50" i="25"/>
  <c r="O44" i="22"/>
  <c r="M44" i="22"/>
  <c r="M23" i="22"/>
  <c r="M33" i="22"/>
  <c r="M25" i="22"/>
  <c r="M29" i="22"/>
  <c r="M26" i="22"/>
  <c r="M31" i="22"/>
  <c r="M24" i="22"/>
  <c r="M30" i="22"/>
  <c r="M32" i="22"/>
  <c r="M34" i="22"/>
  <c r="M22" i="22"/>
  <c r="L71" i="22"/>
  <c r="M20" i="22"/>
  <c r="L45" i="23"/>
  <c r="K50" i="23"/>
  <c r="K59" i="23" s="1"/>
  <c r="L44" i="22"/>
  <c r="K24" i="22"/>
  <c r="K29" i="22"/>
  <c r="K26" i="22"/>
  <c r="K31" i="22"/>
  <c r="K23" i="22"/>
  <c r="K22" i="22"/>
  <c r="K32" i="22"/>
  <c r="K25" i="22"/>
  <c r="K30" i="22"/>
  <c r="K33" i="22"/>
  <c r="M112" i="25"/>
  <c r="F142" i="27"/>
  <c r="G35" i="27"/>
  <c r="K67" i="25"/>
  <c r="L62" i="25"/>
  <c r="K73" i="25"/>
  <c r="L69" i="25"/>
  <c r="G118" i="23"/>
  <c r="G119" i="23" s="1"/>
  <c r="G117" i="23"/>
  <c r="F34" i="26"/>
  <c r="F56" i="26" s="1"/>
  <c r="F98" i="26" s="1"/>
  <c r="F130" i="26" s="1"/>
  <c r="F140" i="26" s="1"/>
  <c r="F155" i="26" s="1"/>
  <c r="F161" i="26" s="1"/>
  <c r="K29" i="25"/>
  <c r="S29" i="23"/>
  <c r="L29" i="23"/>
  <c r="K43" i="23"/>
  <c r="K91" i="23" s="1"/>
  <c r="Y29" i="23"/>
  <c r="X20" i="23"/>
  <c r="X21" i="23" s="1"/>
  <c r="N27" i="22"/>
  <c r="F71" i="27"/>
  <c r="L54" i="25"/>
  <c r="O34" i="22"/>
  <c r="F86" i="25"/>
  <c r="K93" i="25"/>
  <c r="F38" i="24"/>
  <c r="L50" i="22"/>
  <c r="H84" i="22"/>
  <c r="M78" i="22"/>
  <c r="J59" i="23"/>
  <c r="J117" i="23" s="1"/>
  <c r="U20" i="25"/>
  <c r="H43" i="25"/>
  <c r="I75" i="23"/>
  <c r="I86" i="23" s="1"/>
  <c r="I88" i="23" s="1"/>
  <c r="I117" i="23"/>
  <c r="H117" i="25"/>
  <c r="F88" i="25" l="1"/>
  <c r="N111" i="23"/>
  <c r="I65" i="26" s="1"/>
  <c r="I157" i="26" s="1"/>
  <c r="I88" i="25"/>
  <c r="K98" i="23"/>
  <c r="I117" i="25"/>
  <c r="F42" i="26"/>
  <c r="F44" i="26" s="1"/>
  <c r="J88" i="25"/>
  <c r="K75" i="25"/>
  <c r="F132" i="27" s="1"/>
  <c r="K104" i="23"/>
  <c r="K106" i="23" s="1"/>
  <c r="K117" i="23" s="1"/>
  <c r="P78" i="22"/>
  <c r="O111" i="25"/>
  <c r="J157" i="27" s="1"/>
  <c r="M112" i="23"/>
  <c r="G71" i="27"/>
  <c r="M54" i="25"/>
  <c r="G76" i="27"/>
  <c r="G70" i="27" s="1"/>
  <c r="M47" i="25"/>
  <c r="L93" i="25"/>
  <c r="G38" i="24"/>
  <c r="G34" i="26"/>
  <c r="G56" i="26" s="1"/>
  <c r="L29" i="25"/>
  <c r="Y20" i="23"/>
  <c r="Y21" i="23" s="1"/>
  <c r="M29" i="23"/>
  <c r="L43" i="23"/>
  <c r="L91" i="23" s="1"/>
  <c r="L110" i="23" s="1"/>
  <c r="L116" i="23" s="1"/>
  <c r="Z29" i="23"/>
  <c r="T29" i="23"/>
  <c r="G142" i="27"/>
  <c r="H35" i="27"/>
  <c r="L67" i="25"/>
  <c r="M62" i="25"/>
  <c r="H158" i="27"/>
  <c r="H66" i="27"/>
  <c r="F131" i="26"/>
  <c r="M45" i="25"/>
  <c r="L50" i="25"/>
  <c r="L101" i="23"/>
  <c r="L96" i="23"/>
  <c r="L94" i="23"/>
  <c r="M93" i="23"/>
  <c r="L102" i="23"/>
  <c r="G59" i="26" s="1"/>
  <c r="L100" i="23"/>
  <c r="L105" i="23"/>
  <c r="L97" i="23"/>
  <c r="F121" i="27"/>
  <c r="F177" i="27"/>
  <c r="N78" i="25"/>
  <c r="I157" i="27"/>
  <c r="I65" i="27"/>
  <c r="O86" i="22"/>
  <c r="I86" i="22"/>
  <c r="J32" i="23" s="1"/>
  <c r="J32" i="25" s="1"/>
  <c r="N84" i="22"/>
  <c r="H86" i="22"/>
  <c r="M84" i="22"/>
  <c r="K43" i="25"/>
  <c r="K91" i="25" s="1"/>
  <c r="K110" i="25" s="1"/>
  <c r="K116" i="25" s="1"/>
  <c r="X20" i="25"/>
  <c r="X21" i="25" s="1"/>
  <c r="L73" i="25"/>
  <c r="M69" i="25"/>
  <c r="E24" i="24"/>
  <c r="E14" i="24"/>
  <c r="F121" i="26"/>
  <c r="F177" i="26"/>
  <c r="G142" i="26"/>
  <c r="H35" i="26"/>
  <c r="M62" i="23"/>
  <c r="L67" i="23"/>
  <c r="L75" i="23" s="1"/>
  <c r="G132" i="26" s="1"/>
  <c r="M57" i="23"/>
  <c r="N52" i="23"/>
  <c r="F72" i="27"/>
  <c r="H65" i="26"/>
  <c r="H157" i="26" s="1"/>
  <c r="M52" i="25"/>
  <c r="L57" i="25"/>
  <c r="K105" i="25"/>
  <c r="K102" i="25"/>
  <c r="F59" i="27" s="1"/>
  <c r="K100" i="25"/>
  <c r="K101" i="25"/>
  <c r="L50" i="23"/>
  <c r="L59" i="23" s="1"/>
  <c r="M45" i="23"/>
  <c r="F58" i="26"/>
  <c r="E12" i="24"/>
  <c r="K110" i="23"/>
  <c r="K116" i="23" s="1"/>
  <c r="N20" i="22"/>
  <c r="M71" i="22"/>
  <c r="J88" i="23"/>
  <c r="K59" i="25"/>
  <c r="E19" i="24"/>
  <c r="E29" i="24" s="1"/>
  <c r="K96" i="25" s="1"/>
  <c r="L84" i="22"/>
  <c r="G86" i="22"/>
  <c r="F88" i="23"/>
  <c r="H71" i="26"/>
  <c r="N54" i="23"/>
  <c r="G76" i="26"/>
  <c r="G70" i="26" s="1"/>
  <c r="G72" i="26" s="1"/>
  <c r="M47" i="23"/>
  <c r="H157" i="27"/>
  <c r="H65" i="27"/>
  <c r="N112" i="25"/>
  <c r="O111" i="23" l="1"/>
  <c r="J65" i="26" s="1"/>
  <c r="J157" i="26" s="1"/>
  <c r="K82" i="23"/>
  <c r="F57" i="26"/>
  <c r="K118" i="23"/>
  <c r="K119" i="23" s="1"/>
  <c r="F46" i="26"/>
  <c r="F48" i="26" s="1"/>
  <c r="F37" i="26"/>
  <c r="F39" i="26" s="1"/>
  <c r="F49" i="26" s="1"/>
  <c r="H66" i="26"/>
  <c r="H158" i="26" s="1"/>
  <c r="N112" i="23"/>
  <c r="I66" i="26" s="1"/>
  <c r="I158" i="26" s="1"/>
  <c r="P84" i="22"/>
  <c r="G72" i="27"/>
  <c r="J65" i="27"/>
  <c r="F34" i="27"/>
  <c r="F56" i="27" s="1"/>
  <c r="F98" i="27" s="1"/>
  <c r="F130" i="27" s="1"/>
  <c r="F140" i="27" s="1"/>
  <c r="F155" i="27" s="1"/>
  <c r="F161" i="27" s="1"/>
  <c r="E17" i="24"/>
  <c r="E22" i="24" s="1"/>
  <c r="E27" i="24" s="1"/>
  <c r="M86" i="22"/>
  <c r="H32" i="23"/>
  <c r="H32" i="25" s="1"/>
  <c r="H76" i="26"/>
  <c r="H70" i="26" s="1"/>
  <c r="H72" i="26" s="1"/>
  <c r="N47" i="23"/>
  <c r="N71" i="22"/>
  <c r="O20" i="22"/>
  <c r="O71" i="22" s="1"/>
  <c r="G190" i="26"/>
  <c r="G191" i="26" s="1"/>
  <c r="G192" i="26" s="1"/>
  <c r="G193" i="26" s="1"/>
  <c r="F180" i="26"/>
  <c r="I71" i="26"/>
  <c r="O54" i="23"/>
  <c r="J71" i="26" s="1"/>
  <c r="M50" i="23"/>
  <c r="M59" i="23" s="1"/>
  <c r="N45" i="23"/>
  <c r="N52" i="25"/>
  <c r="M57" i="25"/>
  <c r="O52" i="23"/>
  <c r="N57" i="23"/>
  <c r="E28" i="24"/>
  <c r="K94" i="25" s="1"/>
  <c r="K95" i="25" s="1"/>
  <c r="N69" i="25"/>
  <c r="M73" i="25"/>
  <c r="L83" i="23"/>
  <c r="K84" i="23"/>
  <c r="G190" i="27"/>
  <c r="G191" i="27" s="1"/>
  <c r="G192" i="27" s="1"/>
  <c r="G193" i="27" s="1"/>
  <c r="F180" i="27"/>
  <c r="G58" i="26"/>
  <c r="F14" i="24"/>
  <c r="F28" i="24" s="1"/>
  <c r="L94" i="25" s="1"/>
  <c r="L95" i="25" s="1"/>
  <c r="M50" i="25"/>
  <c r="N45" i="25"/>
  <c r="G98" i="26"/>
  <c r="G130" i="26" s="1"/>
  <c r="G140" i="26" s="1"/>
  <c r="G155" i="26" s="1"/>
  <c r="G161" i="26" s="1"/>
  <c r="F12" i="24"/>
  <c r="H76" i="27"/>
  <c r="H70" i="27" s="1"/>
  <c r="N47" i="25"/>
  <c r="H71" i="27"/>
  <c r="N54" i="25"/>
  <c r="G131" i="26"/>
  <c r="H34" i="26"/>
  <c r="H56" i="26" s="1"/>
  <c r="M29" i="25"/>
  <c r="M43" i="23"/>
  <c r="M91" i="23" s="1"/>
  <c r="M110" i="23" s="1"/>
  <c r="M116" i="23" s="1"/>
  <c r="N29" i="23"/>
  <c r="AA29" i="23"/>
  <c r="U29" i="23"/>
  <c r="Z20" i="23"/>
  <c r="Z21" i="23" s="1"/>
  <c r="F24" i="24"/>
  <c r="F30" i="24" s="1"/>
  <c r="L97" i="25" s="1"/>
  <c r="F141" i="26"/>
  <c r="F143" i="26" s="1"/>
  <c r="F144" i="26" s="1"/>
  <c r="F145" i="26" s="1"/>
  <c r="F133" i="26"/>
  <c r="F134" i="26" s="1"/>
  <c r="F135" i="26" s="1"/>
  <c r="L75" i="25"/>
  <c r="M93" i="25"/>
  <c r="H38" i="24"/>
  <c r="O78" i="25"/>
  <c r="F19" i="24"/>
  <c r="F29" i="24" s="1"/>
  <c r="L96" i="25" s="1"/>
  <c r="H142" i="27"/>
  <c r="I35" i="27"/>
  <c r="N62" i="25"/>
  <c r="M67" i="25"/>
  <c r="F58" i="27"/>
  <c r="I158" i="27"/>
  <c r="I66" i="27"/>
  <c r="O112" i="25"/>
  <c r="L86" i="22"/>
  <c r="G32" i="23"/>
  <c r="F131" i="27"/>
  <c r="F141" i="27" s="1"/>
  <c r="F143" i="27" s="1"/>
  <c r="F144" i="27" s="1"/>
  <c r="F145" i="27" s="1"/>
  <c r="H142" i="26"/>
  <c r="I35" i="26"/>
  <c r="N62" i="23"/>
  <c r="M67" i="23"/>
  <c r="M75" i="23" s="1"/>
  <c r="H132" i="26" s="1"/>
  <c r="E30" i="24"/>
  <c r="K97" i="25" s="1"/>
  <c r="I32" i="23"/>
  <c r="I32" i="25" s="1"/>
  <c r="N86" i="22"/>
  <c r="F60" i="26"/>
  <c r="L95" i="23"/>
  <c r="L98" i="23" s="1"/>
  <c r="L104" i="23" s="1"/>
  <c r="L106" i="23" s="1"/>
  <c r="N93" i="23"/>
  <c r="M105" i="23"/>
  <c r="M102" i="23"/>
  <c r="H59" i="26" s="1"/>
  <c r="M100" i="23"/>
  <c r="M97" i="23"/>
  <c r="M101" i="23"/>
  <c r="M96" i="23"/>
  <c r="M94" i="23"/>
  <c r="M95" i="23" s="1"/>
  <c r="L59" i="25"/>
  <c r="L43" i="25"/>
  <c r="L91" i="25" s="1"/>
  <c r="L110" i="25" s="1"/>
  <c r="L116" i="25" s="1"/>
  <c r="Y20" i="25"/>
  <c r="Y21" i="25" s="1"/>
  <c r="L101" i="25"/>
  <c r="L105" i="25"/>
  <c r="L102" i="25"/>
  <c r="G59" i="27" s="1"/>
  <c r="L100" i="25"/>
  <c r="F51" i="26" l="1"/>
  <c r="F99" i="26" s="1"/>
  <c r="F162" i="26" s="1"/>
  <c r="O112" i="23"/>
  <c r="J66" i="26" s="1"/>
  <c r="J158" i="26" s="1"/>
  <c r="M32" i="23"/>
  <c r="AA32" i="23" s="1"/>
  <c r="AA33" i="23" s="1"/>
  <c r="M75" i="25"/>
  <c r="H132" i="27" s="1"/>
  <c r="K98" i="25"/>
  <c r="K104" i="25" s="1"/>
  <c r="K106" i="25" s="1"/>
  <c r="F57" i="27" s="1"/>
  <c r="F60" i="27" s="1"/>
  <c r="P86" i="22"/>
  <c r="M101" i="25"/>
  <c r="M105" i="25"/>
  <c r="M102" i="25"/>
  <c r="H59" i="27" s="1"/>
  <c r="M100" i="25"/>
  <c r="K118" i="25"/>
  <c r="K119" i="25" s="1"/>
  <c r="K117" i="25"/>
  <c r="G19" i="24"/>
  <c r="G29" i="24" s="1"/>
  <c r="M96" i="25" s="1"/>
  <c r="G57" i="26"/>
  <c r="G60" i="26" s="1"/>
  <c r="L118" i="23"/>
  <c r="L119" i="23" s="1"/>
  <c r="L117" i="23"/>
  <c r="L82" i="23"/>
  <c r="G32" i="25"/>
  <c r="K32" i="23"/>
  <c r="Y32" i="23" s="1"/>
  <c r="Y33" i="23" s="1"/>
  <c r="L32" i="23"/>
  <c r="Z32" i="23" s="1"/>
  <c r="Z33" i="23" s="1"/>
  <c r="N93" i="25"/>
  <c r="I38" i="24"/>
  <c r="O93" i="25" s="1"/>
  <c r="F46" i="27"/>
  <c r="F48" i="27" s="1"/>
  <c r="I34" i="26"/>
  <c r="I56" i="26" s="1"/>
  <c r="AB29" i="23"/>
  <c r="V29" i="23"/>
  <c r="AA20" i="23"/>
  <c r="AA21" i="23" s="1"/>
  <c r="N43" i="23"/>
  <c r="N91" i="23" s="1"/>
  <c r="N110" i="23" s="1"/>
  <c r="N116" i="23" s="1"/>
  <c r="O29" i="23"/>
  <c r="N32" i="23"/>
  <c r="AB32" i="23" s="1"/>
  <c r="AB33" i="23" s="1"/>
  <c r="N29" i="25"/>
  <c r="H98" i="26"/>
  <c r="H130" i="26" s="1"/>
  <c r="H140" i="26" s="1"/>
  <c r="H155" i="26" s="1"/>
  <c r="H161" i="26" s="1"/>
  <c r="G12" i="24"/>
  <c r="N73" i="25"/>
  <c r="O69" i="25"/>
  <c r="O73" i="25" s="1"/>
  <c r="O57" i="23"/>
  <c r="H131" i="26"/>
  <c r="E35" i="24"/>
  <c r="E33" i="24"/>
  <c r="N50" i="25"/>
  <c r="O45" i="25"/>
  <c r="G36" i="26"/>
  <c r="G37" i="26" s="1"/>
  <c r="G39" i="26" s="1"/>
  <c r="K86" i="23"/>
  <c r="K88" i="23" s="1"/>
  <c r="M98" i="23"/>
  <c r="M104" i="23" s="1"/>
  <c r="M106" i="23" s="1"/>
  <c r="H58" i="26"/>
  <c r="I142" i="26"/>
  <c r="J35" i="26"/>
  <c r="O62" i="23"/>
  <c r="N67" i="23"/>
  <c r="N75" i="23" s="1"/>
  <c r="I132" i="26" s="1"/>
  <c r="J158" i="27"/>
  <c r="J66" i="27"/>
  <c r="F37" i="27"/>
  <c r="F39" i="27" s="1"/>
  <c r="F49" i="27" s="1"/>
  <c r="G46" i="26"/>
  <c r="G133" i="26"/>
  <c r="G134" i="26" s="1"/>
  <c r="G135" i="26" s="1"/>
  <c r="G141" i="26"/>
  <c r="G143" i="26" s="1"/>
  <c r="G144" i="26" s="1"/>
  <c r="G145" i="26" s="1"/>
  <c r="H72" i="27"/>
  <c r="M59" i="25"/>
  <c r="N57" i="25"/>
  <c r="O52" i="25"/>
  <c r="G58" i="27"/>
  <c r="F62" i="26"/>
  <c r="F63" i="26" s="1"/>
  <c r="F68" i="26" s="1"/>
  <c r="F74" i="26" s="1"/>
  <c r="F102" i="26" s="1"/>
  <c r="F156" i="26"/>
  <c r="F159" i="26" s="1"/>
  <c r="F165" i="26" s="1"/>
  <c r="I142" i="27"/>
  <c r="J35" i="27"/>
  <c r="O62" i="25"/>
  <c r="N67" i="25"/>
  <c r="N75" i="25" s="1"/>
  <c r="I76" i="27"/>
  <c r="I70" i="27" s="1"/>
  <c r="O47" i="25"/>
  <c r="J76" i="27" s="1"/>
  <c r="L98" i="25"/>
  <c r="L104" i="25" s="1"/>
  <c r="L106" i="25" s="1"/>
  <c r="G131" i="27"/>
  <c r="G141" i="27" s="1"/>
  <c r="G143" i="27" s="1"/>
  <c r="G144" i="27" s="1"/>
  <c r="G145" i="27" s="1"/>
  <c r="G14" i="24"/>
  <c r="G28" i="24" s="1"/>
  <c r="M94" i="25" s="1"/>
  <c r="M95" i="25" s="1"/>
  <c r="G24" i="24"/>
  <c r="N105" i="23"/>
  <c r="N102" i="23"/>
  <c r="I59" i="26" s="1"/>
  <c r="N100" i="23"/>
  <c r="N97" i="23"/>
  <c r="O93" i="23"/>
  <c r="N96" i="23"/>
  <c r="N94" i="23"/>
  <c r="N101" i="23"/>
  <c r="G132" i="27"/>
  <c r="Z20" i="25"/>
  <c r="Z21" i="25" s="1"/>
  <c r="M43" i="25"/>
  <c r="M91" i="25" s="1"/>
  <c r="M110" i="25" s="1"/>
  <c r="M116" i="25" s="1"/>
  <c r="I71" i="27"/>
  <c r="O54" i="25"/>
  <c r="J71" i="27" s="1"/>
  <c r="G34" i="27"/>
  <c r="G56" i="27" s="1"/>
  <c r="G98" i="27" s="1"/>
  <c r="G130" i="27" s="1"/>
  <c r="G140" i="27" s="1"/>
  <c r="G155" i="27" s="1"/>
  <c r="G161" i="27" s="1"/>
  <c r="F17" i="24"/>
  <c r="F22" i="24" s="1"/>
  <c r="F27" i="24" s="1"/>
  <c r="O45" i="23"/>
  <c r="N50" i="23"/>
  <c r="N59" i="23" s="1"/>
  <c r="I76" i="26"/>
  <c r="I70" i="26" s="1"/>
  <c r="I72" i="26" s="1"/>
  <c r="O47" i="23"/>
  <c r="J76" i="26" s="1"/>
  <c r="F100" i="26" l="1"/>
  <c r="F163" i="26" s="1"/>
  <c r="F167" i="26" s="1"/>
  <c r="O57" i="25"/>
  <c r="K82" i="25"/>
  <c r="K84" i="25" s="1"/>
  <c r="O50" i="23"/>
  <c r="O59" i="23" s="1"/>
  <c r="J131" i="26" s="1"/>
  <c r="N59" i="25"/>
  <c r="I131" i="27" s="1"/>
  <c r="I141" i="27" s="1"/>
  <c r="I143" i="27" s="1"/>
  <c r="I144" i="27" s="1"/>
  <c r="I145" i="27" s="1"/>
  <c r="G46" i="27"/>
  <c r="F51" i="27"/>
  <c r="F99" i="27" s="1"/>
  <c r="F100" i="27" s="1"/>
  <c r="H46" i="26"/>
  <c r="H34" i="27"/>
  <c r="H56" i="27" s="1"/>
  <c r="H98" i="27" s="1"/>
  <c r="H130" i="27" s="1"/>
  <c r="H140" i="27" s="1"/>
  <c r="H155" i="27" s="1"/>
  <c r="H161" i="27" s="1"/>
  <c r="G17" i="24"/>
  <c r="G22" i="24" s="1"/>
  <c r="G27" i="24" s="1"/>
  <c r="J34" i="26"/>
  <c r="J56" i="26" s="1"/>
  <c r="O29" i="25"/>
  <c r="W29" i="23"/>
  <c r="O43" i="23"/>
  <c r="O91" i="23" s="1"/>
  <c r="O110" i="23" s="1"/>
  <c r="O116" i="23" s="1"/>
  <c r="AC29" i="23"/>
  <c r="O32" i="23"/>
  <c r="AC32" i="23" s="1"/>
  <c r="AC33" i="23" s="1"/>
  <c r="AB20" i="23"/>
  <c r="AB21" i="23" s="1"/>
  <c r="N105" i="25"/>
  <c r="N102" i="25"/>
  <c r="I59" i="27" s="1"/>
  <c r="N100" i="25"/>
  <c r="N101" i="25"/>
  <c r="I131" i="26"/>
  <c r="H14" i="24"/>
  <c r="H28" i="24" s="1"/>
  <c r="N94" i="25" s="1"/>
  <c r="N95" i="25" s="1"/>
  <c r="H30" i="24"/>
  <c r="N97" i="25" s="1"/>
  <c r="H24" i="24"/>
  <c r="G30" i="24"/>
  <c r="M97" i="25" s="1"/>
  <c r="M98" i="25" s="1"/>
  <c r="M104" i="25" s="1"/>
  <c r="J70" i="27"/>
  <c r="J72" i="27" s="1"/>
  <c r="H131" i="27"/>
  <c r="H141" i="27" s="1"/>
  <c r="H143" i="27" s="1"/>
  <c r="H144" i="27" s="1"/>
  <c r="H145" i="27" s="1"/>
  <c r="H57" i="26"/>
  <c r="H60" i="26" s="1"/>
  <c r="M117" i="23"/>
  <c r="M118" i="23"/>
  <c r="M119" i="23" s="1"/>
  <c r="M82" i="23"/>
  <c r="O105" i="25"/>
  <c r="O102" i="25"/>
  <c r="J59" i="27" s="1"/>
  <c r="O100" i="25"/>
  <c r="O101" i="25"/>
  <c r="F156" i="27"/>
  <c r="F159" i="27" s="1"/>
  <c r="F165" i="27" s="1"/>
  <c r="F62" i="27"/>
  <c r="F63" i="27" s="1"/>
  <c r="F68" i="27" s="1"/>
  <c r="F74" i="27" s="1"/>
  <c r="F102" i="27" s="1"/>
  <c r="H58" i="27"/>
  <c r="J70" i="26"/>
  <c r="J72" i="26" s="1"/>
  <c r="F35" i="24"/>
  <c r="F33" i="24"/>
  <c r="O101" i="23"/>
  <c r="O96" i="23"/>
  <c r="O94" i="23"/>
  <c r="O95" i="23" s="1"/>
  <c r="O105" i="23"/>
  <c r="O102" i="23"/>
  <c r="J59" i="26" s="1"/>
  <c r="O100" i="23"/>
  <c r="O97" i="23"/>
  <c r="I132" i="27"/>
  <c r="G43" i="26"/>
  <c r="G49" i="26" s="1"/>
  <c r="G42" i="26"/>
  <c r="I98" i="26"/>
  <c r="I130" i="26" s="1"/>
  <c r="I140" i="26" s="1"/>
  <c r="I155" i="26" s="1"/>
  <c r="I161" i="26" s="1"/>
  <c r="H12" i="24"/>
  <c r="G156" i="26"/>
  <c r="G159" i="26" s="1"/>
  <c r="G165" i="26" s="1"/>
  <c r="G62" i="26"/>
  <c r="G63" i="26" s="1"/>
  <c r="G68" i="26" s="1"/>
  <c r="G74" i="26" s="1"/>
  <c r="G102" i="26" s="1"/>
  <c r="H19" i="24"/>
  <c r="H29" i="24" s="1"/>
  <c r="N96" i="25" s="1"/>
  <c r="I72" i="27"/>
  <c r="H141" i="26"/>
  <c r="H143" i="26" s="1"/>
  <c r="H144" i="26" s="1"/>
  <c r="H145" i="26" s="1"/>
  <c r="H133" i="26"/>
  <c r="H134" i="26" s="1"/>
  <c r="H135" i="26" s="1"/>
  <c r="N95" i="23"/>
  <c r="N98" i="23" s="1"/>
  <c r="N104" i="23" s="1"/>
  <c r="N106" i="23" s="1"/>
  <c r="I58" i="26"/>
  <c r="G57" i="27"/>
  <c r="G60" i="27" s="1"/>
  <c r="L117" i="25"/>
  <c r="L82" i="25"/>
  <c r="L118" i="25"/>
  <c r="L119" i="25" s="1"/>
  <c r="J142" i="27"/>
  <c r="O67" i="25"/>
  <c r="O75" i="25" s="1"/>
  <c r="J142" i="26"/>
  <c r="O67" i="23"/>
  <c r="O75" i="23" s="1"/>
  <c r="J132" i="26" s="1"/>
  <c r="O50" i="25"/>
  <c r="O59" i="25" s="1"/>
  <c r="N43" i="25"/>
  <c r="N91" i="25" s="1"/>
  <c r="N110" i="25" s="1"/>
  <c r="N116" i="25" s="1"/>
  <c r="AA20" i="25"/>
  <c r="AA21" i="25" s="1"/>
  <c r="M83" i="23"/>
  <c r="L84" i="23"/>
  <c r="L83" i="25"/>
  <c r="F162" i="27" l="1"/>
  <c r="O98" i="23"/>
  <c r="F105" i="26"/>
  <c r="O104" i="23"/>
  <c r="O106" i="23" s="1"/>
  <c r="J57" i="26" s="1"/>
  <c r="I46" i="26"/>
  <c r="F105" i="27"/>
  <c r="N98" i="25"/>
  <c r="N104" i="25" s="1"/>
  <c r="N106" i="25" s="1"/>
  <c r="I57" i="27" s="1"/>
  <c r="M106" i="25"/>
  <c r="H46" i="27"/>
  <c r="J131" i="27"/>
  <c r="J141" i="27" s="1"/>
  <c r="J143" i="27" s="1"/>
  <c r="M83" i="25"/>
  <c r="L84" i="25"/>
  <c r="G156" i="27"/>
  <c r="G159" i="27" s="1"/>
  <c r="G165" i="27" s="1"/>
  <c r="G62" i="27"/>
  <c r="G63" i="27" s="1"/>
  <c r="G68" i="27" s="1"/>
  <c r="G74" i="27" s="1"/>
  <c r="G102" i="27" s="1"/>
  <c r="G48" i="26"/>
  <c r="G44" i="26"/>
  <c r="I19" i="24"/>
  <c r="J19" i="24" s="1"/>
  <c r="H156" i="26"/>
  <c r="H159" i="26" s="1"/>
  <c r="H165" i="26" s="1"/>
  <c r="H62" i="26"/>
  <c r="H63" i="26" s="1"/>
  <c r="H68" i="26" s="1"/>
  <c r="H74" i="26" s="1"/>
  <c r="H102" i="26" s="1"/>
  <c r="I141" i="26"/>
  <c r="I143" i="26" s="1"/>
  <c r="I144" i="26" s="1"/>
  <c r="I145" i="26" s="1"/>
  <c r="I133" i="26"/>
  <c r="I134" i="26" s="1"/>
  <c r="I135" i="26" s="1"/>
  <c r="J98" i="26"/>
  <c r="J130" i="26" s="1"/>
  <c r="J140" i="26" s="1"/>
  <c r="J155" i="26" s="1"/>
  <c r="J161" i="26" s="1"/>
  <c r="J81" i="26"/>
  <c r="I12" i="24"/>
  <c r="H36" i="26"/>
  <c r="L86" i="23"/>
  <c r="L88" i="23" s="1"/>
  <c r="F163" i="27"/>
  <c r="F167" i="27" s="1"/>
  <c r="G51" i="26"/>
  <c r="G99" i="26" s="1"/>
  <c r="N83" i="23"/>
  <c r="M84" i="23"/>
  <c r="I58" i="27"/>
  <c r="G33" i="24"/>
  <c r="G35" i="24"/>
  <c r="J141" i="26"/>
  <c r="J143" i="26" s="1"/>
  <c r="J133" i="26"/>
  <c r="I34" i="27"/>
  <c r="I56" i="27" s="1"/>
  <c r="I98" i="27" s="1"/>
  <c r="I130" i="27" s="1"/>
  <c r="I140" i="27" s="1"/>
  <c r="I155" i="27" s="1"/>
  <c r="I161" i="27" s="1"/>
  <c r="H17" i="24"/>
  <c r="H22" i="24" s="1"/>
  <c r="H27" i="24" s="1"/>
  <c r="O117" i="23"/>
  <c r="O82" i="23"/>
  <c r="J58" i="26"/>
  <c r="J58" i="27"/>
  <c r="J46" i="26"/>
  <c r="F133" i="27"/>
  <c r="F134" i="27" s="1"/>
  <c r="F135" i="27" s="1"/>
  <c r="G36" i="27"/>
  <c r="K86" i="25"/>
  <c r="K88" i="25" s="1"/>
  <c r="J132" i="27"/>
  <c r="N117" i="23"/>
  <c r="N82" i="23"/>
  <c r="I57" i="26"/>
  <c r="I60" i="26" s="1"/>
  <c r="N118" i="23"/>
  <c r="N119" i="23" s="1"/>
  <c r="I24" i="24"/>
  <c r="J24" i="24" s="1"/>
  <c r="I14" i="24"/>
  <c r="J14" i="24" s="1"/>
  <c r="O43" i="25"/>
  <c r="O91" i="25" s="1"/>
  <c r="O110" i="25" s="1"/>
  <c r="O116" i="25" s="1"/>
  <c r="AB20" i="25"/>
  <c r="AB21" i="25" s="1"/>
  <c r="I30" i="24" l="1"/>
  <c r="O97" i="25" s="1"/>
  <c r="O118" i="23"/>
  <c r="O119" i="23" s="1"/>
  <c r="I29" i="24"/>
  <c r="O96" i="25" s="1"/>
  <c r="N82" i="25"/>
  <c r="N84" i="25" s="1"/>
  <c r="N117" i="25"/>
  <c r="I46" i="27"/>
  <c r="N118" i="25"/>
  <c r="N119" i="25" s="1"/>
  <c r="I28" i="24"/>
  <c r="O94" i="25" s="1"/>
  <c r="O95" i="25" s="1"/>
  <c r="G43" i="27"/>
  <c r="G42" i="27"/>
  <c r="G37" i="27"/>
  <c r="G39" i="27" s="1"/>
  <c r="H43" i="26"/>
  <c r="H42" i="26"/>
  <c r="H37" i="26"/>
  <c r="H39" i="26" s="1"/>
  <c r="O83" i="23"/>
  <c r="O84" i="23" s="1"/>
  <c r="O86" i="23" s="1"/>
  <c r="O88" i="23" s="1"/>
  <c r="N84" i="23"/>
  <c r="H33" i="24"/>
  <c r="H35" i="24"/>
  <c r="I36" i="26"/>
  <c r="M86" i="23"/>
  <c r="M88" i="23" s="1"/>
  <c r="J134" i="26"/>
  <c r="J135" i="26" s="1"/>
  <c r="F190" i="26"/>
  <c r="J34" i="27"/>
  <c r="J56" i="27" s="1"/>
  <c r="I17" i="24"/>
  <c r="I22" i="24" s="1"/>
  <c r="I27" i="24" s="1"/>
  <c r="J144" i="27"/>
  <c r="J145" i="27" s="1"/>
  <c r="F191" i="27"/>
  <c r="I156" i="26"/>
  <c r="I159" i="26" s="1"/>
  <c r="I165" i="26" s="1"/>
  <c r="I62" i="26"/>
  <c r="I63" i="26" s="1"/>
  <c r="I68" i="26" s="1"/>
  <c r="I74" i="26" s="1"/>
  <c r="I102" i="26" s="1"/>
  <c r="J60" i="26"/>
  <c r="J144" i="26"/>
  <c r="J145" i="26" s="1"/>
  <c r="F191" i="26"/>
  <c r="G162" i="26"/>
  <c r="G100" i="26"/>
  <c r="H36" i="27"/>
  <c r="G133" i="27"/>
  <c r="G134" i="27" s="1"/>
  <c r="G135" i="27" s="1"/>
  <c r="L86" i="25"/>
  <c r="L88" i="25" s="1"/>
  <c r="H57" i="27"/>
  <c r="H60" i="27" s="1"/>
  <c r="M118" i="25"/>
  <c r="M119" i="25" s="1"/>
  <c r="M117" i="25"/>
  <c r="M82" i="25"/>
  <c r="I60" i="27"/>
  <c r="O98" i="25" l="1"/>
  <c r="O104" i="25" s="1"/>
  <c r="I62" i="27"/>
  <c r="I63" i="27" s="1"/>
  <c r="I68" i="27" s="1"/>
  <c r="I74" i="27" s="1"/>
  <c r="I102" i="27" s="1"/>
  <c r="I156" i="27"/>
  <c r="I159" i="27" s="1"/>
  <c r="I165" i="27" s="1"/>
  <c r="H156" i="27"/>
  <c r="H159" i="27" s="1"/>
  <c r="H165" i="27" s="1"/>
  <c r="H62" i="27"/>
  <c r="H63" i="27" s="1"/>
  <c r="H68" i="27" s="1"/>
  <c r="H74" i="27" s="1"/>
  <c r="H102" i="27" s="1"/>
  <c r="G163" i="26"/>
  <c r="G167" i="26" s="1"/>
  <c r="G105" i="26"/>
  <c r="J156" i="26"/>
  <c r="J159" i="26" s="1"/>
  <c r="J165" i="26" s="1"/>
  <c r="J62" i="26"/>
  <c r="J63" i="26" s="1"/>
  <c r="J68" i="26" s="1"/>
  <c r="J74" i="26" s="1"/>
  <c r="I35" i="24"/>
  <c r="I33" i="24"/>
  <c r="J81" i="27"/>
  <c r="J98" i="27"/>
  <c r="J130" i="27" s="1"/>
  <c r="J140" i="27" s="1"/>
  <c r="J155" i="27" s="1"/>
  <c r="J161" i="27" s="1"/>
  <c r="I191" i="26"/>
  <c r="H191" i="26"/>
  <c r="I191" i="27"/>
  <c r="H191" i="27"/>
  <c r="J36" i="26"/>
  <c r="N86" i="23"/>
  <c r="N88" i="23" s="1"/>
  <c r="H44" i="26"/>
  <c r="H48" i="26"/>
  <c r="G49" i="27"/>
  <c r="N83" i="25"/>
  <c r="O83" i="25" s="1"/>
  <c r="M84" i="25"/>
  <c r="I133" i="27"/>
  <c r="I134" i="27" s="1"/>
  <c r="I135" i="27" s="1"/>
  <c r="J36" i="27"/>
  <c r="N86" i="25"/>
  <c r="N88" i="25" s="1"/>
  <c r="I43" i="26"/>
  <c r="I42" i="26"/>
  <c r="I37" i="26"/>
  <c r="I39" i="26" s="1"/>
  <c r="G44" i="27"/>
  <c r="G48" i="27"/>
  <c r="H43" i="27"/>
  <c r="H42" i="27"/>
  <c r="H37" i="27"/>
  <c r="H39" i="27" s="1"/>
  <c r="H190" i="26"/>
  <c r="P192" i="26"/>
  <c r="I190" i="26"/>
  <c r="H49" i="26"/>
  <c r="H49" i="27" l="1"/>
  <c r="O106" i="25"/>
  <c r="J46" i="27"/>
  <c r="J82" i="26"/>
  <c r="J87" i="26" s="1"/>
  <c r="J102" i="26"/>
  <c r="H48" i="27"/>
  <c r="H44" i="27"/>
  <c r="J43" i="27"/>
  <c r="J42" i="27"/>
  <c r="J37" i="27"/>
  <c r="J39" i="27" s="1"/>
  <c r="G51" i="27"/>
  <c r="G99" i="27" s="1"/>
  <c r="J43" i="26"/>
  <c r="J42" i="26"/>
  <c r="J37" i="26"/>
  <c r="J39" i="26" s="1"/>
  <c r="K191" i="27"/>
  <c r="G203" i="27"/>
  <c r="H51" i="26"/>
  <c r="H99" i="26" s="1"/>
  <c r="I49" i="26"/>
  <c r="H133" i="27"/>
  <c r="H134" i="27" s="1"/>
  <c r="H135" i="27" s="1"/>
  <c r="I36" i="27"/>
  <c r="M86" i="25"/>
  <c r="M88" i="25" s="1"/>
  <c r="I44" i="26"/>
  <c r="I48" i="26"/>
  <c r="F202" i="27"/>
  <c r="K190" i="26"/>
  <c r="K203" i="27"/>
  <c r="F203" i="27"/>
  <c r="K191" i="26"/>
  <c r="H51" i="27" l="1"/>
  <c r="H99" i="27" s="1"/>
  <c r="H162" i="27" s="1"/>
  <c r="O82" i="25"/>
  <c r="O84" i="25" s="1"/>
  <c r="J57" i="27"/>
  <c r="J60" i="27" s="1"/>
  <c r="O117" i="25"/>
  <c r="O118" i="25"/>
  <c r="O119" i="25" s="1"/>
  <c r="I43" i="27"/>
  <c r="I42" i="27"/>
  <c r="I37" i="27"/>
  <c r="I39" i="27" s="1"/>
  <c r="J48" i="27"/>
  <c r="J44" i="27"/>
  <c r="J92" i="26"/>
  <c r="I51" i="26"/>
  <c r="I99" i="26" s="1"/>
  <c r="I162" i="26" s="1"/>
  <c r="H203" i="27"/>
  <c r="J203" i="27"/>
  <c r="J49" i="26"/>
  <c r="J49" i="27"/>
  <c r="J48" i="26"/>
  <c r="J44" i="26"/>
  <c r="H162" i="26"/>
  <c r="H100" i="26"/>
  <c r="G162" i="27"/>
  <c r="G100" i="27"/>
  <c r="J51" i="27" l="1"/>
  <c r="J99" i="27" s="1"/>
  <c r="J162" i="27" s="1"/>
  <c r="J156" i="27"/>
  <c r="J159" i="27" s="1"/>
  <c r="J165" i="27" s="1"/>
  <c r="J62" i="27"/>
  <c r="J63" i="27" s="1"/>
  <c r="J68" i="27" s="1"/>
  <c r="J74" i="27" s="1"/>
  <c r="J133" i="27"/>
  <c r="O86" i="25"/>
  <c r="O88" i="25" s="1"/>
  <c r="J51" i="26"/>
  <c r="I48" i="27"/>
  <c r="I44" i="27"/>
  <c r="I100" i="26"/>
  <c r="H163" i="26"/>
  <c r="H167" i="26" s="1"/>
  <c r="H105" i="26"/>
  <c r="H100" i="27"/>
  <c r="G163" i="27"/>
  <c r="G167" i="27" s="1"/>
  <c r="G105" i="27"/>
  <c r="I49" i="27"/>
  <c r="J83" i="27" l="1"/>
  <c r="J88" i="27" s="1"/>
  <c r="J93" i="27" s="1"/>
  <c r="J134" i="27"/>
  <c r="J135" i="27" s="1"/>
  <c r="F190" i="27"/>
  <c r="J82" i="27"/>
  <c r="J87" i="27" s="1"/>
  <c r="J92" i="27" s="1"/>
  <c r="J102" i="27"/>
  <c r="H163" i="27"/>
  <c r="H167" i="27" s="1"/>
  <c r="H105" i="27"/>
  <c r="I51" i="27"/>
  <c r="I99" i="27" s="1"/>
  <c r="I162" i="27" s="1"/>
  <c r="I163" i="26"/>
  <c r="I167" i="26" s="1"/>
  <c r="I105" i="26"/>
  <c r="J99" i="26"/>
  <c r="J162" i="26" s="1"/>
  <c r="J83" i="26"/>
  <c r="J88" i="26" s="1"/>
  <c r="J89" i="27" l="1"/>
  <c r="H190" i="27"/>
  <c r="K202" i="27" s="1"/>
  <c r="I190" i="27"/>
  <c r="P192" i="27"/>
  <c r="J95" i="27"/>
  <c r="J103" i="27" s="1"/>
  <c r="J100" i="26"/>
  <c r="J163" i="26" s="1"/>
  <c r="J167" i="26" s="1"/>
  <c r="F169" i="26" s="1"/>
  <c r="F171" i="26" s="1"/>
  <c r="F175" i="26" s="1"/>
  <c r="I100" i="27"/>
  <c r="J93" i="26"/>
  <c r="J95" i="26" s="1"/>
  <c r="J103" i="26" s="1"/>
  <c r="J106" i="26" s="1"/>
  <c r="F109" i="26" s="1"/>
  <c r="J89" i="26"/>
  <c r="K190" i="27" l="1"/>
  <c r="G202" i="27"/>
  <c r="J105" i="26"/>
  <c r="F108" i="26" s="1"/>
  <c r="F110" i="26" s="1"/>
  <c r="F112" i="26" s="1"/>
  <c r="F116" i="26" s="1"/>
  <c r="F181" i="26"/>
  <c r="F182" i="26" s="1"/>
  <c r="F192" i="26"/>
  <c r="I163" i="27"/>
  <c r="I167" i="27" s="1"/>
  <c r="J100" i="27"/>
  <c r="I105" i="27"/>
  <c r="H202" i="27" l="1"/>
  <c r="J202" i="27"/>
  <c r="F193" i="26"/>
  <c r="P190" i="26" s="1"/>
  <c r="F122" i="26"/>
  <c r="F123" i="26" s="1"/>
  <c r="J163" i="27"/>
  <c r="J167" i="27" s="1"/>
  <c r="F169" i="27" s="1"/>
  <c r="F171" i="27" s="1"/>
  <c r="F175" i="27" s="1"/>
  <c r="J105" i="27"/>
  <c r="F108" i="27" s="1"/>
  <c r="J106" i="27"/>
  <c r="F109" i="27" s="1"/>
  <c r="H192" i="26"/>
  <c r="I192" i="26"/>
  <c r="L192" i="26"/>
  <c r="H193" i="26"/>
  <c r="I193" i="26" l="1"/>
  <c r="N192" i="26" s="1"/>
  <c r="F110" i="27"/>
  <c r="F112" i="27" s="1"/>
  <c r="F116" i="27" s="1"/>
  <c r="F193" i="27" s="1"/>
  <c r="F196" i="26"/>
  <c r="F199" i="26"/>
  <c r="F197" i="26"/>
  <c r="P191" i="26"/>
  <c r="F198" i="26"/>
  <c r="F204" i="27"/>
  <c r="K192" i="26"/>
  <c r="K193" i="26"/>
  <c r="F192" i="27"/>
  <c r="F181" i="27"/>
  <c r="F182" i="27" s="1"/>
  <c r="F205" i="27" l="1"/>
  <c r="F122" i="27"/>
  <c r="F123" i="27" s="1"/>
  <c r="I193" i="27"/>
  <c r="H193" i="27"/>
  <c r="K205" i="27" s="1"/>
  <c r="P190" i="27"/>
  <c r="I192" i="27"/>
  <c r="H192" i="27"/>
  <c r="K204" i="27" s="1"/>
  <c r="L192" i="27"/>
  <c r="G204" i="27" l="1"/>
  <c r="K192" i="27"/>
  <c r="N192" i="27"/>
  <c r="F196" i="27"/>
  <c r="F195" i="27"/>
  <c r="P191" i="27"/>
  <c r="F197" i="27"/>
  <c r="K193" i="27"/>
  <c r="G205" i="27"/>
  <c r="H205" i="27" l="1"/>
  <c r="J205" i="27"/>
  <c r="H204" i="27"/>
  <c r="J204" i="27"/>
  <c r="I14" i="8" l="1"/>
  <c r="H14" i="8"/>
  <c r="H62" i="8" l="1"/>
  <c r="I62" i="8"/>
  <c r="J62" i="8"/>
  <c r="J61" i="8"/>
  <c r="I61" i="8"/>
  <c r="H61" i="8"/>
  <c r="F10" i="13" l="1"/>
  <c r="E10" i="13"/>
  <c r="D10" i="13"/>
  <c r="C10" i="13"/>
  <c r="B10" i="13"/>
  <c r="D32" i="3" l="1"/>
  <c r="E32" i="3"/>
  <c r="F32" i="3"/>
  <c r="G32" i="3"/>
  <c r="C32" i="3"/>
  <c r="C52" i="8" l="1"/>
  <c r="E52" i="8"/>
  <c r="F52" i="8"/>
  <c r="G52" i="8"/>
  <c r="D52" i="8" l="1"/>
  <c r="E25" i="8" l="1"/>
  <c r="F25" i="8"/>
  <c r="G25" i="8"/>
  <c r="C25" i="8"/>
  <c r="D25" i="8" l="1"/>
  <c r="D30" i="7"/>
  <c r="E30" i="7"/>
  <c r="J30" i="7" s="1"/>
  <c r="F30" i="7"/>
  <c r="G30" i="7"/>
  <c r="D31" i="7"/>
  <c r="E31" i="7"/>
  <c r="F31" i="7"/>
  <c r="G31" i="7"/>
  <c r="D32" i="7"/>
  <c r="E32" i="7"/>
  <c r="F32" i="7"/>
  <c r="G32" i="7"/>
  <c r="D34" i="7"/>
  <c r="E34" i="7"/>
  <c r="F34" i="7"/>
  <c r="G34" i="7"/>
  <c r="C34" i="7"/>
  <c r="C32" i="7"/>
  <c r="C31" i="7"/>
  <c r="C30" i="7"/>
  <c r="E12" i="5"/>
  <c r="F12" i="5"/>
  <c r="G12" i="5"/>
  <c r="D12" i="5"/>
  <c r="D6" i="5"/>
  <c r="E6" i="5"/>
  <c r="F6" i="5"/>
  <c r="G6" i="5"/>
  <c r="D8" i="5"/>
  <c r="E8" i="5"/>
  <c r="F8" i="5"/>
  <c r="G8" i="5"/>
  <c r="D9" i="5"/>
  <c r="E9" i="5"/>
  <c r="F9" i="5"/>
  <c r="G9" i="5"/>
  <c r="C9" i="5"/>
  <c r="C8" i="5"/>
  <c r="C6" i="5"/>
  <c r="G51" i="4"/>
  <c r="G50" i="4"/>
  <c r="D81" i="4"/>
  <c r="E81" i="4"/>
  <c r="F81" i="4"/>
  <c r="G81" i="4"/>
  <c r="C81" i="4"/>
  <c r="D50" i="4"/>
  <c r="E50" i="4"/>
  <c r="F50" i="4"/>
  <c r="D51" i="4"/>
  <c r="E51" i="4"/>
  <c r="F51" i="4"/>
  <c r="D52" i="4"/>
  <c r="D55" i="4" s="1"/>
  <c r="E52" i="4"/>
  <c r="E55" i="4" s="1"/>
  <c r="F52" i="4"/>
  <c r="F55" i="4" s="1"/>
  <c r="G52" i="4"/>
  <c r="G55" i="4" s="1"/>
  <c r="C52" i="4"/>
  <c r="C55" i="4" s="1"/>
  <c r="C51" i="4"/>
  <c r="C50" i="4"/>
  <c r="D34" i="4"/>
  <c r="E34" i="4"/>
  <c r="E64" i="4" s="1"/>
  <c r="E80" i="4" s="1"/>
  <c r="F34" i="4"/>
  <c r="F64" i="4" s="1"/>
  <c r="F80" i="4" s="1"/>
  <c r="G34" i="4"/>
  <c r="C34" i="4"/>
  <c r="C64" i="4" s="1"/>
  <c r="C80" i="4" s="1"/>
  <c r="D26" i="4"/>
  <c r="E26" i="4"/>
  <c r="F26" i="4"/>
  <c r="G26" i="4"/>
  <c r="D27" i="4"/>
  <c r="E27" i="4"/>
  <c r="F27" i="4"/>
  <c r="G27" i="4"/>
  <c r="C27" i="4"/>
  <c r="C26" i="4"/>
  <c r="D16" i="4"/>
  <c r="E16" i="4"/>
  <c r="F16" i="4"/>
  <c r="G16" i="4"/>
  <c r="D17" i="4"/>
  <c r="E17" i="4"/>
  <c r="F17" i="4"/>
  <c r="G17" i="4"/>
  <c r="D19" i="4"/>
  <c r="E19" i="4"/>
  <c r="F19" i="4"/>
  <c r="G19" i="4"/>
  <c r="D20" i="4"/>
  <c r="E20" i="4"/>
  <c r="F20" i="4"/>
  <c r="G20" i="4"/>
  <c r="C20" i="4"/>
  <c r="C19" i="4"/>
  <c r="C17" i="4"/>
  <c r="C16" i="4"/>
  <c r="D51" i="3"/>
  <c r="E51" i="3"/>
  <c r="F51" i="3"/>
  <c r="G51" i="3"/>
  <c r="C51" i="3"/>
  <c r="D52" i="3"/>
  <c r="E52" i="3"/>
  <c r="F52" i="3"/>
  <c r="G52" i="3"/>
  <c r="C52" i="3"/>
  <c r="K30" i="7" l="1"/>
  <c r="F33" i="7"/>
  <c r="E33" i="7"/>
  <c r="E82" i="4"/>
  <c r="G33" i="7"/>
  <c r="D33" i="7"/>
  <c r="F53" i="4"/>
  <c r="F65" i="4" s="1"/>
  <c r="E53" i="4"/>
  <c r="E65" i="4" s="1"/>
  <c r="E66" i="4" s="1"/>
  <c r="F82" i="4"/>
  <c r="C82" i="4"/>
  <c r="D53" i="4"/>
  <c r="D65" i="4" s="1"/>
  <c r="G64" i="4"/>
  <c r="G80" i="4" s="1"/>
  <c r="G82" i="4" s="1"/>
  <c r="D64" i="4"/>
  <c r="D80" i="4" s="1"/>
  <c r="D82" i="4" s="1"/>
  <c r="C53" i="4"/>
  <c r="C65" i="4" s="1"/>
  <c r="C66" i="4" s="1"/>
  <c r="C33" i="7"/>
  <c r="G53" i="4"/>
  <c r="G65" i="4" s="1"/>
  <c r="C12" i="3"/>
  <c r="D12" i="3"/>
  <c r="E12" i="3"/>
  <c r="F12" i="3"/>
  <c r="G12" i="3"/>
  <c r="F28" i="7"/>
  <c r="G64" i="8"/>
  <c r="F64" i="8"/>
  <c r="G28" i="7"/>
  <c r="D28" i="7"/>
  <c r="G42" i="8"/>
  <c r="F42" i="8"/>
  <c r="C35" i="8"/>
  <c r="D35" i="8"/>
  <c r="E35" i="8"/>
  <c r="F35" i="8"/>
  <c r="G35" i="8"/>
  <c r="F17" i="8"/>
  <c r="B57" i="8"/>
  <c r="C59" i="8"/>
  <c r="C78" i="8" s="1"/>
  <c r="D59" i="8"/>
  <c r="D78" i="8" s="1"/>
  <c r="E59" i="8"/>
  <c r="E78" i="8" s="1"/>
  <c r="F59" i="8"/>
  <c r="F78" i="8" s="1"/>
  <c r="G59" i="8"/>
  <c r="G78" i="8" s="1"/>
  <c r="E64" i="8"/>
  <c r="D64" i="8"/>
  <c r="C64" i="8"/>
  <c r="E28" i="7"/>
  <c r="E42" i="8"/>
  <c r="D42" i="8"/>
  <c r="C42" i="8"/>
  <c r="F24" i="4" l="1"/>
  <c r="E24" i="4"/>
  <c r="D24" i="4"/>
  <c r="G24" i="4"/>
  <c r="C24" i="4"/>
  <c r="F11" i="5"/>
  <c r="F66" i="4"/>
  <c r="F97" i="4" s="1"/>
  <c r="D66" i="4"/>
  <c r="D97" i="4" s="1"/>
  <c r="G66" i="4"/>
  <c r="G97" i="4" s="1"/>
  <c r="G11" i="5"/>
  <c r="H53" i="4"/>
  <c r="D67" i="8"/>
  <c r="D7" i="7"/>
  <c r="C67" i="8"/>
  <c r="C71" i="8" s="1"/>
  <c r="C73" i="8" s="1"/>
  <c r="C7" i="7"/>
  <c r="F67" i="8"/>
  <c r="F7" i="7"/>
  <c r="E67" i="8"/>
  <c r="E71" i="8" s="1"/>
  <c r="E7" i="7"/>
  <c r="G67" i="8"/>
  <c r="G7" i="7"/>
  <c r="I7" i="7" s="1"/>
  <c r="D11" i="5"/>
  <c r="E97" i="4"/>
  <c r="E67" i="4"/>
  <c r="F16" i="7"/>
  <c r="F17" i="7"/>
  <c r="F50" i="3"/>
  <c r="F53" i="3" s="1"/>
  <c r="F58" i="3" s="1"/>
  <c r="F15" i="7"/>
  <c r="E11" i="5"/>
  <c r="C28" i="7"/>
  <c r="C67" i="4"/>
  <c r="C97" i="4"/>
  <c r="F26" i="8"/>
  <c r="F43" i="8"/>
  <c r="F24" i="7" s="1"/>
  <c r="G43" i="8"/>
  <c r="G24" i="7" s="1"/>
  <c r="D17" i="8"/>
  <c r="E17" i="8"/>
  <c r="G17" i="8"/>
  <c r="C17" i="8"/>
  <c r="D43" i="8"/>
  <c r="D23" i="7" s="1"/>
  <c r="C43" i="8"/>
  <c r="C24" i="7" s="1"/>
  <c r="E43" i="8"/>
  <c r="E23" i="7" s="1"/>
  <c r="F18" i="7" l="1"/>
  <c r="E24" i="7"/>
  <c r="C30" i="3"/>
  <c r="D24" i="7"/>
  <c r="H66" i="4"/>
  <c r="G67" i="4"/>
  <c r="F67" i="4"/>
  <c r="D67" i="4"/>
  <c r="F22" i="7"/>
  <c r="F13" i="3"/>
  <c r="F29" i="7"/>
  <c r="C8" i="7"/>
  <c r="C29" i="3"/>
  <c r="C5" i="5"/>
  <c r="C7" i="5" s="1"/>
  <c r="C10" i="5" s="1"/>
  <c r="C13" i="5" s="1"/>
  <c r="C25" i="4"/>
  <c r="C28" i="4" s="1"/>
  <c r="G71" i="8"/>
  <c r="G73" i="8" s="1"/>
  <c r="G29" i="3"/>
  <c r="G5" i="5"/>
  <c r="G7" i="5" s="1"/>
  <c r="G10" i="5" s="1"/>
  <c r="G13" i="5" s="1"/>
  <c r="G8" i="7"/>
  <c r="G25" i="4"/>
  <c r="G28" i="4" s="1"/>
  <c r="G35" i="4" s="1"/>
  <c r="G36" i="4" s="1"/>
  <c r="G96" i="4" s="1"/>
  <c r="D71" i="8"/>
  <c r="D73" i="8" s="1"/>
  <c r="D8" i="7"/>
  <c r="D25" i="4"/>
  <c r="D28" i="4" s="1"/>
  <c r="D35" i="4" s="1"/>
  <c r="D36" i="4" s="1"/>
  <c r="D96" i="4" s="1"/>
  <c r="D98" i="4" s="1"/>
  <c r="D29" i="3"/>
  <c r="D5" i="5"/>
  <c r="D7" i="5" s="1"/>
  <c r="D10" i="5" s="1"/>
  <c r="D13" i="5" s="1"/>
  <c r="E73" i="8"/>
  <c r="E8" i="7"/>
  <c r="E25" i="4"/>
  <c r="E28" i="4" s="1"/>
  <c r="E35" i="4" s="1"/>
  <c r="E36" i="4" s="1"/>
  <c r="E96" i="4" s="1"/>
  <c r="E98" i="4" s="1"/>
  <c r="E5" i="5"/>
  <c r="E7" i="5" s="1"/>
  <c r="E10" i="5" s="1"/>
  <c r="E13" i="5" s="1"/>
  <c r="E29" i="3"/>
  <c r="G16" i="7"/>
  <c r="G17" i="7"/>
  <c r="G15" i="7"/>
  <c r="G50" i="3"/>
  <c r="G53" i="3" s="1"/>
  <c r="G58" i="3" s="1"/>
  <c r="E16" i="7"/>
  <c r="E17" i="7"/>
  <c r="E50" i="3"/>
  <c r="E53" i="3" s="1"/>
  <c r="E58" i="3" s="1"/>
  <c r="E15" i="7"/>
  <c r="F23" i="7"/>
  <c r="F71" i="8"/>
  <c r="F73" i="8" s="1"/>
  <c r="F5" i="5"/>
  <c r="F7" i="5" s="1"/>
  <c r="F10" i="5" s="1"/>
  <c r="F13" i="5" s="1"/>
  <c r="F8" i="7"/>
  <c r="F25" i="4"/>
  <c r="F28" i="4" s="1"/>
  <c r="F35" i="4" s="1"/>
  <c r="F36" i="4" s="1"/>
  <c r="F96" i="4" s="1"/>
  <c r="F98" i="4" s="1"/>
  <c r="F29" i="3"/>
  <c r="D16" i="7"/>
  <c r="D17" i="7"/>
  <c r="D50" i="3"/>
  <c r="D53" i="3" s="1"/>
  <c r="D58" i="3" s="1"/>
  <c r="D15" i="7"/>
  <c r="G23" i="7"/>
  <c r="C23" i="7"/>
  <c r="C17" i="7"/>
  <c r="C16" i="7"/>
  <c r="C15" i="7"/>
  <c r="C50" i="3"/>
  <c r="C53" i="3" s="1"/>
  <c r="C58" i="3" s="1"/>
  <c r="F53" i="8"/>
  <c r="F54" i="8" s="1"/>
  <c r="G26" i="8"/>
  <c r="G18" i="7" s="1"/>
  <c r="C26" i="8"/>
  <c r="C18" i="7" s="1"/>
  <c r="E53" i="8"/>
  <c r="C53" i="8"/>
  <c r="E26" i="8"/>
  <c r="E18" i="7" s="1"/>
  <c r="D53" i="8"/>
  <c r="D26" i="8"/>
  <c r="D18" i="7" s="1"/>
  <c r="G53" i="8"/>
  <c r="H67" i="4" l="1"/>
  <c r="G30" i="3"/>
  <c r="G31" i="3" s="1"/>
  <c r="G59" i="3" s="1"/>
  <c r="E30" i="3"/>
  <c r="E31" i="3" s="1"/>
  <c r="E57" i="3" s="1"/>
  <c r="E59" i="3" s="1"/>
  <c r="C35" i="4"/>
  <c r="C36" i="4" s="1"/>
  <c r="H28" i="4"/>
  <c r="C9" i="7"/>
  <c r="C15" i="4"/>
  <c r="C18" i="4" s="1"/>
  <c r="C21" i="4" s="1"/>
  <c r="C14" i="3"/>
  <c r="C10" i="7"/>
  <c r="C31" i="3"/>
  <c r="C36" i="3"/>
  <c r="C38" i="3" s="1"/>
  <c r="D29" i="7"/>
  <c r="D13" i="3"/>
  <c r="E13" i="3"/>
  <c r="E29" i="7"/>
  <c r="D36" i="3"/>
  <c r="D38" i="3" s="1"/>
  <c r="E36" i="3"/>
  <c r="E38" i="3" s="1"/>
  <c r="G13" i="3"/>
  <c r="G29" i="7"/>
  <c r="F30" i="3"/>
  <c r="F31" i="3" s="1"/>
  <c r="F57" i="3" s="1"/>
  <c r="F59" i="3" s="1"/>
  <c r="G36" i="3"/>
  <c r="E22" i="7"/>
  <c r="F36" i="3"/>
  <c r="F38" i="3" s="1"/>
  <c r="D54" i="8"/>
  <c r="D22" i="7"/>
  <c r="D30" i="3"/>
  <c r="D31" i="3" s="1"/>
  <c r="D57" i="3" s="1"/>
  <c r="D59" i="3" s="1"/>
  <c r="G22" i="7"/>
  <c r="C54" i="8"/>
  <c r="C13" i="3"/>
  <c r="C22" i="7"/>
  <c r="C29" i="7"/>
  <c r="E54" i="8"/>
  <c r="G54" i="8"/>
  <c r="F56" i="3"/>
  <c r="G56" i="3"/>
  <c r="D56" i="3"/>
  <c r="E56" i="3"/>
  <c r="D9" i="7" l="1"/>
  <c r="D14" i="3"/>
  <c r="D15" i="3" s="1"/>
  <c r="D15" i="4"/>
  <c r="D18" i="4" s="1"/>
  <c r="D21" i="4" s="1"/>
  <c r="D38" i="4" s="1"/>
  <c r="D10" i="7"/>
  <c r="F9" i="7"/>
  <c r="F14" i="3"/>
  <c r="F15" i="3" s="1"/>
  <c r="F15" i="4"/>
  <c r="F18" i="4" s="1"/>
  <c r="F21" i="4" s="1"/>
  <c r="F38" i="4" s="1"/>
  <c r="F10" i="7"/>
  <c r="C38" i="4"/>
  <c r="C96" i="4"/>
  <c r="C98" i="4" s="1"/>
  <c r="H98" i="4" s="1"/>
  <c r="H36" i="4"/>
  <c r="I36" i="4" s="1"/>
  <c r="E9" i="7"/>
  <c r="E14" i="3"/>
  <c r="E15" i="3" s="1"/>
  <c r="E15" i="4"/>
  <c r="E18" i="4" s="1"/>
  <c r="E21" i="4" s="1"/>
  <c r="E38" i="4" s="1"/>
  <c r="E10" i="7"/>
  <c r="C15" i="3"/>
  <c r="G9" i="7"/>
  <c r="G14" i="3"/>
  <c r="G15" i="4"/>
  <c r="G18" i="4" s="1"/>
  <c r="G21" i="4" s="1"/>
  <c r="G38" i="4" s="1"/>
  <c r="G10" i="7"/>
  <c r="C57" i="3"/>
  <c r="C59" i="3" s="1"/>
  <c r="H59" i="3" s="1"/>
  <c r="O59" i="10" s="1"/>
  <c r="P59" i="10" s="1"/>
  <c r="Q59" i="10" s="1"/>
  <c r="R59" i="10" s="1"/>
  <c r="S59" i="10" s="1"/>
  <c r="H31" i="3"/>
  <c r="H38" i="3"/>
  <c r="D49" i="3"/>
  <c r="D14" i="4"/>
  <c r="C56" i="3"/>
  <c r="C49" i="3"/>
  <c r="C14" i="4"/>
  <c r="E49" i="3"/>
  <c r="F49" i="3"/>
  <c r="G14" i="4"/>
  <c r="G49" i="3"/>
  <c r="E14" i="4"/>
  <c r="F14" i="4"/>
  <c r="C35" i="3"/>
  <c r="D35" i="3"/>
  <c r="E35" i="3"/>
  <c r="F35" i="3"/>
  <c r="G35" i="3"/>
  <c r="G28" i="3"/>
  <c r="F28" i="3"/>
  <c r="E28" i="3"/>
  <c r="D28" i="3"/>
  <c r="C28" i="3"/>
  <c r="I38" i="4" l="1"/>
  <c r="I9" i="7"/>
  <c r="H38" i="4"/>
  <c r="D18" i="3"/>
  <c r="H21" i="4"/>
  <c r="H15" i="3"/>
  <c r="O58" i="10" s="1"/>
  <c r="P58" i="10" s="1"/>
  <c r="Q58" i="10" s="1"/>
  <c r="R58" i="10" s="1"/>
  <c r="S58" i="10" s="1"/>
  <c r="D17" i="3"/>
  <c r="G33" i="4"/>
  <c r="G49" i="4" s="1"/>
  <c r="G63" i="4" s="1"/>
  <c r="G79" i="4" s="1"/>
  <c r="G95" i="4" s="1"/>
  <c r="G4" i="5"/>
  <c r="G5" i="7" s="1"/>
  <c r="G14" i="7" s="1"/>
  <c r="G21" i="7" s="1"/>
  <c r="G27" i="7" s="1"/>
  <c r="F33" i="4"/>
  <c r="F49" i="4" s="1"/>
  <c r="F63" i="4" s="1"/>
  <c r="F79" i="4" s="1"/>
  <c r="F95" i="4" s="1"/>
  <c r="F4" i="5"/>
  <c r="F5" i="7" s="1"/>
  <c r="F14" i="7" s="1"/>
  <c r="F21" i="7" s="1"/>
  <c r="F27" i="7" s="1"/>
  <c r="E33" i="4"/>
  <c r="E49" i="4" s="1"/>
  <c r="E63" i="4" s="1"/>
  <c r="E79" i="4" s="1"/>
  <c r="E95" i="4" s="1"/>
  <c r="E4" i="5"/>
  <c r="E5" i="7" s="1"/>
  <c r="E14" i="7" s="1"/>
  <c r="E21" i="7" s="1"/>
  <c r="E27" i="7" s="1"/>
  <c r="D33" i="4"/>
  <c r="D49" i="4" s="1"/>
  <c r="D63" i="4" s="1"/>
  <c r="D79" i="4" s="1"/>
  <c r="D95" i="4" s="1"/>
  <c r="D4" i="5"/>
  <c r="D5" i="7" s="1"/>
  <c r="D14" i="7" s="1"/>
  <c r="D21" i="7" s="1"/>
  <c r="D27" i="7" s="1"/>
  <c r="C33" i="4"/>
  <c r="C49" i="4" s="1"/>
  <c r="C63" i="4" s="1"/>
  <c r="C79" i="4" s="1"/>
  <c r="C95" i="4" s="1"/>
  <c r="C4" i="5"/>
  <c r="C5" i="7" s="1"/>
  <c r="C14" i="7" s="1"/>
  <c r="C21" i="7" s="1"/>
  <c r="C27" i="7" s="1"/>
  <c r="O60" i="10" l="1"/>
  <c r="P60" i="10" s="1"/>
  <c r="Q60" i="10" s="1"/>
  <c r="R60" i="10" s="1"/>
  <c r="S60" i="10" s="1"/>
</calcChain>
</file>

<file path=xl/sharedStrings.xml><?xml version="1.0" encoding="utf-8"?>
<sst xmlns="http://schemas.openxmlformats.org/spreadsheetml/2006/main" count="1119" uniqueCount="483">
  <si>
    <t>UTILIDAD OPERACIONAL</t>
  </si>
  <si>
    <t>EBITDA</t>
  </si>
  <si>
    <t>Promedio</t>
  </si>
  <si>
    <t>ROA</t>
  </si>
  <si>
    <t>Activos Totales</t>
  </si>
  <si>
    <t>Utilidad Neta</t>
  </si>
  <si>
    <t>RAN</t>
  </si>
  <si>
    <t>UODI</t>
  </si>
  <si>
    <t>Utilidad Operacional</t>
  </si>
  <si>
    <t xml:space="preserve"> Imp. Real Pagado</t>
  </si>
  <si>
    <t>Activos Netos de Operación</t>
  </si>
  <si>
    <t>UODI con Tasa de Impuesto</t>
  </si>
  <si>
    <t>UODI con Impuesto Real Pagado</t>
  </si>
  <si>
    <t>Activos Corrientes</t>
  </si>
  <si>
    <t>Activos Fijos (Propiedad Planta y Equipo)</t>
  </si>
  <si>
    <t>Cuentas por pagar proveedores</t>
  </si>
  <si>
    <t>Margen EBITDA</t>
  </si>
  <si>
    <t>Ventas</t>
  </si>
  <si>
    <t xml:space="preserve">Cuentas por cobrar </t>
  </si>
  <si>
    <t>Inventario</t>
  </si>
  <si>
    <t>Cuentas por pagar Proveedores</t>
  </si>
  <si>
    <t>KTNO</t>
  </si>
  <si>
    <t>PKT</t>
  </si>
  <si>
    <t>Productividad de Capital de Trabajo (PKT)</t>
  </si>
  <si>
    <t>Activos Fijos</t>
  </si>
  <si>
    <t>PAF</t>
  </si>
  <si>
    <t>PDC</t>
  </si>
  <si>
    <t>UTILIDAD OPERATIVA</t>
  </si>
  <si>
    <t>R/I</t>
  </si>
  <si>
    <t>Rentabilidad</t>
  </si>
  <si>
    <t>Rentabilidad Bruta</t>
  </si>
  <si>
    <t>Utilidad Bruta / Ventas</t>
  </si>
  <si>
    <t>Rentabilidad Operacional</t>
  </si>
  <si>
    <t>Utilidad Operacional / Ventas</t>
  </si>
  <si>
    <t>Rentabilidad Neta</t>
  </si>
  <si>
    <t>Utilidad Neta / Ventas</t>
  </si>
  <si>
    <t>ROE</t>
  </si>
  <si>
    <t>Utilidad Neta / Patrimonio</t>
  </si>
  <si>
    <t>Liquidez</t>
  </si>
  <si>
    <t>Capital de Trabajo</t>
  </si>
  <si>
    <t>Activo Corriente - Pasivo Corriente</t>
  </si>
  <si>
    <t>Razon Corriente</t>
  </si>
  <si>
    <t>Activo Corriente / Pasivo Corriente</t>
  </si>
  <si>
    <t>Prueba Acida</t>
  </si>
  <si>
    <t>Endeudamiento</t>
  </si>
  <si>
    <t>Nivel de Endeudamiento</t>
  </si>
  <si>
    <t>Total Pasivo / Total Activo</t>
  </si>
  <si>
    <t>Concentracion de Endeudamiento a Corto Plazo</t>
  </si>
  <si>
    <t>Pasivo Corriente / Pasivo Total</t>
  </si>
  <si>
    <t>Concentracion de Endeudamiento a Largo Plazo</t>
  </si>
  <si>
    <t>Pasivo No Corriente / Pasivo Total</t>
  </si>
  <si>
    <t>Actividad</t>
  </si>
  <si>
    <t>Rotacion del Patrimonio</t>
  </si>
  <si>
    <t>Ventas / Patrimonio</t>
  </si>
  <si>
    <t>Rotacion del Activo</t>
  </si>
  <si>
    <t>Ventas / Activo Total</t>
  </si>
  <si>
    <t>Rotacion de Cartera</t>
  </si>
  <si>
    <t>Ventas / Cuentas Por Cobrar Clientes</t>
  </si>
  <si>
    <t>Periodo de Cobro</t>
  </si>
  <si>
    <t>(Cuentas Por Cobrar Clientes / Ventas ) * 365</t>
  </si>
  <si>
    <t>Rotacion de Inventarios</t>
  </si>
  <si>
    <t>(Inventarios / Costo de Ventas) * 365</t>
  </si>
  <si>
    <t>Ciclo Operacional</t>
  </si>
  <si>
    <t>Periodo de Cobro +  Rotacion de Inventarios</t>
  </si>
  <si>
    <t>Periodo de Pago a Proveedores</t>
  </si>
  <si>
    <t>(Cuentas por pagar Proveedores / Costo de Ventas) * 365</t>
  </si>
  <si>
    <t>MATRIZ RAZONES FINANCIERAS</t>
  </si>
  <si>
    <t>ANALISIS DE RAZONES FINANCIERAS</t>
  </si>
  <si>
    <t>(Activo Corriente - Inventarios) / Pasivo Corriente</t>
  </si>
  <si>
    <t>PKT Centavos</t>
  </si>
  <si>
    <t>PKT %</t>
  </si>
  <si>
    <t>Menos Impuestos</t>
  </si>
  <si>
    <t>Mas Depreciaciones</t>
  </si>
  <si>
    <t>Mas Amortizaciones</t>
  </si>
  <si>
    <t>FLUJO DE CAJA BRUTO</t>
  </si>
  <si>
    <t>FLUJO DE CAJA LIBRE (FCL)</t>
  </si>
  <si>
    <t>ESTADO DE SITUACIÓN FINANCIERA (BALANCE GENERAL)</t>
  </si>
  <si>
    <t>ACTIVOS</t>
  </si>
  <si>
    <t>Activos corrientes</t>
  </si>
  <si>
    <t>Efectivo y equivalentes de efectivo</t>
  </si>
  <si>
    <t>Activos financieros</t>
  </si>
  <si>
    <t>Deudores comerciales y otros</t>
  </si>
  <si>
    <t>Inventarios</t>
  </si>
  <si>
    <t>Pagos anticipados</t>
  </si>
  <si>
    <t>Total activos corrientes</t>
  </si>
  <si>
    <t>Activos no corrientes</t>
  </si>
  <si>
    <t>Deudores</t>
  </si>
  <si>
    <t>Propiedades, planta y equipo</t>
  </si>
  <si>
    <t>Activos intangibles</t>
  </si>
  <si>
    <t>Activos por impuestos diferidos</t>
  </si>
  <si>
    <t>Total activos no corrientes</t>
  </si>
  <si>
    <t xml:space="preserve">Total activos </t>
  </si>
  <si>
    <t>PASIVOS Y PATRIMONIO</t>
  </si>
  <si>
    <t>Pasivos corrientes</t>
  </si>
  <si>
    <t>Obligaciones financieras</t>
  </si>
  <si>
    <t>Impuestos corrientes por pagar</t>
  </si>
  <si>
    <t>Otros pasivos</t>
  </si>
  <si>
    <t>Total pasivos corrientes</t>
  </si>
  <si>
    <t>Pasivos no corrientes</t>
  </si>
  <si>
    <t>Provisiones</t>
  </si>
  <si>
    <t xml:space="preserve">Total pasivos </t>
  </si>
  <si>
    <t>Patrimonio de los accionistas</t>
  </si>
  <si>
    <t>Capital suscrito y pagado</t>
  </si>
  <si>
    <t>Superavit de capital</t>
  </si>
  <si>
    <t>Reservas</t>
  </si>
  <si>
    <t>Resultados del Ejercicio</t>
  </si>
  <si>
    <t>Total patrimonio de los accionistas</t>
  </si>
  <si>
    <t>Total pasivos y patrimonio de los accionistas</t>
  </si>
  <si>
    <t>Verificación de ecuación contable</t>
  </si>
  <si>
    <t>Nota: Activo = Pasivo + Patrimonio</t>
  </si>
  <si>
    <t>ESTADO DE RESULTADOS</t>
  </si>
  <si>
    <t>Ventas, Ingresos de actividades ordinarias</t>
  </si>
  <si>
    <t>Costo de Ventas</t>
  </si>
  <si>
    <t>Utilidad Bruta</t>
  </si>
  <si>
    <t>Gastos de administración</t>
  </si>
  <si>
    <t>Gastos de ventas y distribución</t>
  </si>
  <si>
    <t>Otros ingresos</t>
  </si>
  <si>
    <t>Gasto no operacional</t>
  </si>
  <si>
    <t>Utilidad antes de impuestos</t>
  </si>
  <si>
    <t>Gasto por impuesto</t>
  </si>
  <si>
    <t>Cuentas por pagar Varios</t>
  </si>
  <si>
    <t>Gasto Financiero</t>
  </si>
  <si>
    <t xml:space="preserve"> Imp. Simulado</t>
  </si>
  <si>
    <t>DISTANCIA</t>
  </si>
  <si>
    <t>IMPUESTOS</t>
  </si>
  <si>
    <t>GASTOS FINANCIEROS</t>
  </si>
  <si>
    <t>EBIT</t>
  </si>
  <si>
    <t>Detalles de Depreciación y Amortización</t>
  </si>
  <si>
    <t>Depreciaciones</t>
  </si>
  <si>
    <t>Amortizaciones</t>
  </si>
  <si>
    <t>UTILIDAD NETA</t>
  </si>
  <si>
    <t>Menos Variación  KTNO</t>
  </si>
  <si>
    <t>Menos Variación en Activos Fijos</t>
  </si>
  <si>
    <t>RAZONES DE ACTIVIDAD</t>
  </si>
  <si>
    <t>Periodo de pago a proveedor debe ser mayor al periodo de cobro</t>
  </si>
  <si>
    <t>Rotación de imventarios debe ser menor al pago a proveedores</t>
  </si>
  <si>
    <t>Tiempo entre la rotación de inventarios y el periodo de cobro al cliente</t>
  </si>
  <si>
    <t>AJUSTE DE CICLOS DE OPERACIÓN DE LA EMPRESA</t>
  </si>
  <si>
    <t>CONCEPTO</t>
  </si>
  <si>
    <t>Conversión Cuentas por pagar Proveedores</t>
  </si>
  <si>
    <t>Máximo</t>
  </si>
  <si>
    <t>Mínimo</t>
  </si>
  <si>
    <t>[2% hasta 5%]</t>
  </si>
  <si>
    <t>DISTANCIA DEL EBITDA</t>
  </si>
  <si>
    <t>PARA GRAFICAR</t>
  </si>
  <si>
    <t>[ RANGO ENTRE 0,20 Y 0,80]</t>
  </si>
  <si>
    <t>[RANGO 8X]</t>
  </si>
  <si>
    <t xml:space="preserve">          MEDIDO EN VECES</t>
  </si>
  <si>
    <t>Total pasivos no corrientes</t>
  </si>
  <si>
    <t>FLUJO DE CAJA</t>
  </si>
  <si>
    <t>MEDIO</t>
  </si>
  <si>
    <t>LARGO</t>
  </si>
  <si>
    <t xml:space="preserve"> ----------&gt;</t>
  </si>
  <si>
    <t>COCENTRACION DE ENDEUDAMIENTO CORTO PLAZO</t>
  </si>
  <si>
    <t>CORTO 0 - 30 DIAS</t>
  </si>
  <si>
    <t>Resultados del Ejercicio anteriores</t>
  </si>
  <si>
    <t>Cuentas por pagar comerciales y otras</t>
  </si>
  <si>
    <t>Efectos NIIF</t>
  </si>
  <si>
    <t>Proveedores Nacionales</t>
  </si>
  <si>
    <t>Alpamayo</t>
  </si>
  <si>
    <t>Otras Obligaciones</t>
  </si>
  <si>
    <t>Proveedores del exterior</t>
  </si>
  <si>
    <t>INFORME DE GESTIÓN FINANCIERA</t>
  </si>
  <si>
    <t>ROA - CAPACIDAD DE LOS ACTIVOS PARA GENERAR RENTABILIDAD CON LA OPERACIÓN</t>
  </si>
  <si>
    <t>RAN - EFICIENCIA OPERATIVA DESPUÉS DE PAGAR IMPUESTOS</t>
  </si>
  <si>
    <t>RESUMEN DE ACTIVOS NETOS DE OPERACIÓN</t>
  </si>
  <si>
    <t>MARGEN EBITDA - RENTABILIDAD OPERACIONAL</t>
  </si>
  <si>
    <t>EBITDA  TRADICIONAL</t>
  </si>
  <si>
    <t>EBITDA  OPERACIONAL</t>
  </si>
  <si>
    <t>cantidad de centavos que se requiere  por cada peso que la empresa vende</t>
  </si>
  <si>
    <t>PRODUCTIVIDAD DE CAPITAL DE TRABAJO (PKT)</t>
  </si>
  <si>
    <t xml:space="preserve">CAPITAL DE TRABAJO </t>
  </si>
  <si>
    <t>máximos ingresos posibles con la menor cantidad posible de inversión</t>
  </si>
  <si>
    <t>PRODUCTIVIDAD DEL ACTIVO FIJO (PAF)</t>
  </si>
  <si>
    <t>Menor a 1 PDC Desfavorable (El crecimiento en estas condiciones demandara efectivo)</t>
  </si>
  <si>
    <t>Mayor a 1 PDC Favorable ( El crecimiento en estas condiciones demandara menos efectivo)</t>
  </si>
  <si>
    <t>PALANCA DE CRECIMIENTO (PDC)</t>
  </si>
  <si>
    <t>FLUJO DE CAJA LIBRE</t>
  </si>
  <si>
    <t>Proveedores</t>
  </si>
  <si>
    <t>MARGEN EBITDA  OPERACIONAL</t>
  </si>
  <si>
    <t>MARGEN EBITDA  TRADICIONAL</t>
  </si>
  <si>
    <t>FARMACÉUTICAS SAS</t>
  </si>
  <si>
    <t>Indice de solidez</t>
  </si>
  <si>
    <t>Activo total / Pasivo total</t>
  </si>
  <si>
    <t>1. INDUCTORES DE VALOR E INDICADORES FINANCIEROS</t>
  </si>
  <si>
    <t>1.1 ESTADOS FINANCIEROS</t>
  </si>
  <si>
    <t>1.2 INDUCTORES OPERATIVOS Y FINANCIEROS</t>
  </si>
  <si>
    <t>1.3 INDUCTORES DE RENTABILIDAD</t>
  </si>
  <si>
    <t>1.4 RAZONES FINANCIERAS</t>
  </si>
  <si>
    <t>1.5 FLUJO DE CAJA LIBRE</t>
  </si>
  <si>
    <t>1.6 INFORME DE GRÁFICOS</t>
  </si>
  <si>
    <t>MENU PRINCIPAL</t>
  </si>
  <si>
    <t>FARMACEUTICAS SAS</t>
  </si>
  <si>
    <t>MEDICAMENTOS SAS</t>
  </si>
  <si>
    <t>VARIACION FARMACEUTICAS SAS</t>
  </si>
  <si>
    <t>VARIACION MEDICAMENTOS SAS</t>
  </si>
  <si>
    <t>VARIACION INSUMOS MEDICOS SAS</t>
  </si>
  <si>
    <t>2. GRAFICAS PEER GROUP</t>
  </si>
  <si>
    <t>2.1 RENTABILIDAD OPERACIONAL</t>
  </si>
  <si>
    <t>2.2 ROE</t>
  </si>
  <si>
    <t>2.3 RAZON CORRIENTE</t>
  </si>
  <si>
    <t>2.4 INDICE DE SOLIDEZ</t>
  </si>
  <si>
    <t>2.5 ENDEUDAMIENTO</t>
  </si>
  <si>
    <t>2.6 ROTACION DE CARTERA</t>
  </si>
  <si>
    <t>MODELO DE VALORACIÓN DE EMPRESAS</t>
  </si>
  <si>
    <t>ESTADOS FINANCIEROS CIFRAS HISTORICAS</t>
  </si>
  <si>
    <t>ESTADO DE SITUACIÓN FINANCIERA</t>
  </si>
  <si>
    <t xml:space="preserve"> Pesos Colombianos</t>
  </si>
  <si>
    <t>a 31 de Diciembre</t>
  </si>
  <si>
    <t>ACTIVO</t>
  </si>
  <si>
    <t>Activo Corriente</t>
  </si>
  <si>
    <t>ANÁLISIS VERTICAL</t>
  </si>
  <si>
    <t>TOTAL ACTIVO CORRIENTE</t>
  </si>
  <si>
    <t>Activo No Corriente</t>
  </si>
  <si>
    <t>TOTAL ACTIVO NO CORRIENTE</t>
  </si>
  <si>
    <t>0 TOTAL ACTIVO</t>
  </si>
  <si>
    <t>Pasivo Corriente</t>
  </si>
  <si>
    <t>0 TOTAL PASIVO CORRIENTE</t>
  </si>
  <si>
    <t>Pasivo No Corriente</t>
  </si>
  <si>
    <t>0 TOTAL PASIVO NO CORRIENTE</t>
  </si>
  <si>
    <t>0 TOTAL PASIVO</t>
  </si>
  <si>
    <t>Patrimonio</t>
  </si>
  <si>
    <t>0 TOTAL PATRIMONIO</t>
  </si>
  <si>
    <t>0 TOTAL PASIVO Y PATRIMONIO</t>
  </si>
  <si>
    <t>CONTROL (Pasivo y Patrimonio - Activo)</t>
  </si>
  <si>
    <t>ESTADO DE RESULTADO</t>
  </si>
  <si>
    <t>SITUACIÓN ANTES DE TRATAMIENTO</t>
  </si>
  <si>
    <t xml:space="preserve">CUENTAS DE RESULTADO </t>
  </si>
  <si>
    <t>Promedio Estructural</t>
  </si>
  <si>
    <t>Cuentas</t>
  </si>
  <si>
    <t>Estructuras</t>
  </si>
  <si>
    <t>Operacional</t>
  </si>
  <si>
    <t>ANÁLISIS VERTICAL - BASE EN VENTAS</t>
  </si>
  <si>
    <t>Costos</t>
  </si>
  <si>
    <t>EL AJUSTE SEGÚN LOS LIMITES DE TOLERANCIA</t>
  </si>
  <si>
    <t>UTILIDAD BRUTA</t>
  </si>
  <si>
    <t>Gastos</t>
  </si>
  <si>
    <t>Total Erogación</t>
  </si>
  <si>
    <t>Total operación</t>
  </si>
  <si>
    <t>Ingresos no ope</t>
  </si>
  <si>
    <t>No Operacional</t>
  </si>
  <si>
    <t>Gastos no ope</t>
  </si>
  <si>
    <t>Tx</t>
  </si>
  <si>
    <t>Margen Neto</t>
  </si>
  <si>
    <t>Resultados Netos</t>
  </si>
  <si>
    <t>UTILIDAD ANTES DE IMPUESTOS</t>
  </si>
  <si>
    <t>SITUACIÓN DESPÚES DE TRATAMIENTO</t>
  </si>
  <si>
    <t>[ -10%       50%       +10%]</t>
  </si>
  <si>
    <t>10% DE TOLERANCIA - PREDICTORES DE QUIEBRA ALTMAN INDEX</t>
  </si>
  <si>
    <t>[ -5%       25%       +5%]</t>
  </si>
  <si>
    <t>NO TIENE TOLERANCIA</t>
  </si>
  <si>
    <t>ESTADOS FINANCIEROS PROYECTADOS</t>
  </si>
  <si>
    <t>ANÁLISIS FINANCIERO</t>
  </si>
  <si>
    <t>TASAS DE DEUDA</t>
  </si>
  <si>
    <t>TASA Kd E.A.</t>
  </si>
  <si>
    <t>CIFRAS FUNDAMENTALES DE PROYECCIÓN</t>
  </si>
  <si>
    <t>1. Tasa Kd ponderado EA de la empresa</t>
  </si>
  <si>
    <t>2. Tasa de los créditos comerciales de cada año cierre EA (banrepublica tasa creditos comerciales cierre de año)</t>
  </si>
  <si>
    <t xml:space="preserve">CIFRAS DE PROYECCIÓN </t>
  </si>
  <si>
    <t xml:space="preserve">PLANES, POLITICAS Y EXPECTATIVAS </t>
  </si>
  <si>
    <t>CIFRAS HISTÓRICAS</t>
  </si>
  <si>
    <t>CIFRAS PROYECTADAS</t>
  </si>
  <si>
    <t>CIFRAS PROYECTADAS ESCENARIO 2</t>
  </si>
  <si>
    <t>CIFRAS PROYECTADAS ESCENARIO 3</t>
  </si>
  <si>
    <t>VARIABLES</t>
  </si>
  <si>
    <t>Variables</t>
  </si>
  <si>
    <t>Inflación en Colombia</t>
  </si>
  <si>
    <t>PIB</t>
  </si>
  <si>
    <t>Crecimiento Historico</t>
  </si>
  <si>
    <t>Tasa de Crecimiento Modelo 1</t>
  </si>
  <si>
    <t>Tasa de Crecimiento</t>
  </si>
  <si>
    <t>Elegir Escenario de tasa</t>
  </si>
  <si>
    <t>Crecimiento Proyectado</t>
  </si>
  <si>
    <t>PROYECCIÓN DE ESTADOS FINANCIERO</t>
  </si>
  <si>
    <t>INDICTORES DE VALOR Y RAZONES FINANCIERAS</t>
  </si>
  <si>
    <t>MARGEN EBITDA</t>
  </si>
  <si>
    <t>ESTRATEGIAS Y TRATAMIENTOS OPERATIVOS</t>
  </si>
  <si>
    <t>VALORACIÓN</t>
  </si>
  <si>
    <t>PROYECCIONES MEJORARAS, TRATAMIENTOS Y ESTRATEGIAS</t>
  </si>
  <si>
    <t>ESTRATEGIA 1 MEJORAMIENTO MARGEN EBITDA</t>
  </si>
  <si>
    <t>COTOS</t>
  </si>
  <si>
    <t>Objetivo</t>
  </si>
  <si>
    <t>REDUCCIÓN DE COSTOS</t>
  </si>
  <si>
    <t>REDUCCIÓN DE COSTOS $ Proyección</t>
  </si>
  <si>
    <t>OBJETIVO</t>
  </si>
  <si>
    <t xml:space="preserve"> -------------------&gt;</t>
  </si>
  <si>
    <t>GASTOS ADMINISTRATIVOS</t>
  </si>
  <si>
    <t>REDUCCIÓN DE GASTOS ADMINISTRATIVOS</t>
  </si>
  <si>
    <t>REDUCCIÓN DE GASTOS ADMON $ Proyección</t>
  </si>
  <si>
    <t>GASTOS DE VENTAS</t>
  </si>
  <si>
    <t>REDUCCIÓN DE GASTOS DE VENTAS</t>
  </si>
  <si>
    <t>REDUCCIÓN GASTOS DE VENTAS $ Proyección</t>
  </si>
  <si>
    <t xml:space="preserve"> </t>
  </si>
  <si>
    <t>PLAN DE REDUCCIÓN EN PESOS</t>
  </si>
  <si>
    <t>ESTAS CUENTAS SE INCREMENTAN DE FORMA TRIANGULAR</t>
  </si>
  <si>
    <t xml:space="preserve">COSTO DE VENTAS Y DE PRESTACIÓN DE SERVICIOS </t>
  </si>
  <si>
    <t xml:space="preserve">GASTOS OPERACIONALES DE ADMINISTRACIÓN </t>
  </si>
  <si>
    <t xml:space="preserve">GASTOS OPERACIONALES DE VENTAS </t>
  </si>
  <si>
    <t>ESTRATEGIA 2  INCREMENTO EN VENTAS</t>
  </si>
  <si>
    <t>ESTAS CUENTAS SE INCREMENTAN DE FORMA LINEAL</t>
  </si>
  <si>
    <t>Gradiente Crecimiento Valoración Natural</t>
  </si>
  <si>
    <t>INCREMENTO EN VENTAS</t>
  </si>
  <si>
    <t>CRECIMIENTO ADICIONAL DE VENTAS</t>
  </si>
  <si>
    <t>INCREMENTO GRADIENTE DE CRECIMIENTO</t>
  </si>
  <si>
    <t>VENTAS CON TRATAMIENTO</t>
  </si>
  <si>
    <t>ASPECTOS PARA TENER EN CUENTA EN UN CICLO DE REDUCCION DE COSTOS</t>
  </si>
  <si>
    <t>ESTRÉS CORPORATIVO</t>
  </si>
  <si>
    <t>REDUCCION DE CALIDAD DEL PRODUCTO (POTENCIALIZA PERDIDAS)</t>
  </si>
  <si>
    <t>AMBIENTE CORPORATIVO</t>
  </si>
  <si>
    <t>ORDEN PARA REDUCCIÓN DE COSTOS</t>
  </si>
  <si>
    <t>SERVICIO DE AGUA</t>
  </si>
  <si>
    <t>FLUIDO ELECTRICO</t>
  </si>
  <si>
    <t>ARRENDAMIENTOS</t>
  </si>
  <si>
    <t>BENEFICIOS CORPORATIVOS</t>
  </si>
  <si>
    <t>PERSONAL</t>
  </si>
  <si>
    <t>PERSONAL BASE OPERATIVO (COSTO) - SINERGIAS DE PUESTO DE TRABAJO</t>
  </si>
  <si>
    <t>PERSONAL BASE ADMINISTRATIVO (CARGAS LABORALES NO PRODUCTIVAS)</t>
  </si>
  <si>
    <t>PERSONAL DE APOYO</t>
  </si>
  <si>
    <t>PERSONAL BASE DE VENTAS  - NEGOCIACION DE TABLAS DE COMISIÓN</t>
  </si>
  <si>
    <t xml:space="preserve">    - INCENTIVOS MAS EFICIENTES</t>
  </si>
  <si>
    <t xml:space="preserve">    - SALARIOS BÁSICOS</t>
  </si>
  <si>
    <t>VARIABLE MACROECONÓMICA</t>
  </si>
  <si>
    <t>Tasas proyectadas con Tratamiento</t>
  </si>
  <si>
    <t>Crecimiento Proyectado Con Estrategia</t>
  </si>
  <si>
    <t>MODELOS DE VALORACIÓN</t>
  </si>
  <si>
    <t>COSTO DE CAPITAL</t>
  </si>
  <si>
    <t>CALCULO DEL COSTO DE LOS RECURSOS PROPIOS</t>
  </si>
  <si>
    <t>TASAS HISTORICAS</t>
  </si>
  <si>
    <t>Años</t>
  </si>
  <si>
    <t>Rentabilidad acciones USA S&amp;P</t>
  </si>
  <si>
    <t>Rentabilidad Bonos del Tesoro USA</t>
  </si>
  <si>
    <t>Inflación USA</t>
  </si>
  <si>
    <t>Inflación Colombia</t>
  </si>
  <si>
    <t>RIESGO PAÍS</t>
  </si>
  <si>
    <r>
      <t xml:space="preserve">Tasa libre de riesgo </t>
    </r>
    <r>
      <rPr>
        <b/>
        <u/>
        <sz val="11"/>
        <rFont val="Calibri"/>
        <family val="2"/>
      </rPr>
      <t>nominal</t>
    </r>
    <r>
      <rPr>
        <sz val="11"/>
        <rFont val="Calibri"/>
        <family val="2"/>
      </rPr>
      <t xml:space="preserve"> en dólares      KL</t>
    </r>
    <r>
      <rPr>
        <b/>
        <vertAlign val="subscript"/>
        <sz val="11"/>
        <rFont val="Calibri"/>
        <family val="2"/>
      </rPr>
      <t xml:space="preserve">  USA</t>
    </r>
  </si>
  <si>
    <t>Kl</t>
  </si>
  <si>
    <t>Inflación en USA</t>
  </si>
  <si>
    <r>
      <t xml:space="preserve">Tasa libre de riesgo </t>
    </r>
    <r>
      <rPr>
        <b/>
        <u/>
        <sz val="11"/>
        <rFont val="Calibri"/>
        <family val="2"/>
      </rPr>
      <t>real</t>
    </r>
    <r>
      <rPr>
        <sz val="11"/>
        <rFont val="Calibri"/>
        <family val="2"/>
      </rPr>
      <t xml:space="preserve"> en dólares</t>
    </r>
  </si>
  <si>
    <t>Inflación COLOMBIA</t>
  </si>
  <si>
    <r>
      <t xml:space="preserve">Tasa libre de riesgo  </t>
    </r>
    <r>
      <rPr>
        <b/>
        <u/>
        <sz val="11"/>
        <rFont val="Calibri"/>
        <family val="2"/>
      </rPr>
      <t>nominal</t>
    </r>
    <r>
      <rPr>
        <sz val="11"/>
        <rFont val="Calibri"/>
        <family val="2"/>
      </rPr>
      <t xml:space="preserve"> en $COL</t>
    </r>
  </si>
  <si>
    <t>Riesgo país Colombia</t>
  </si>
  <si>
    <t>RP</t>
  </si>
  <si>
    <r>
      <t xml:space="preserve">Rentabilidad Mercado en dólares            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</rPr>
      <t>K</t>
    </r>
    <r>
      <rPr>
        <b/>
        <vertAlign val="subscript"/>
        <sz val="11"/>
        <color theme="1"/>
        <rFont val="Calibri"/>
        <family val="2"/>
      </rPr>
      <t>m</t>
    </r>
    <r>
      <rPr>
        <b/>
        <sz val="11"/>
        <color theme="1"/>
        <rFont val="Calibri"/>
        <family val="2"/>
      </rPr>
      <t xml:space="preserve"> </t>
    </r>
    <r>
      <rPr>
        <b/>
        <sz val="8"/>
        <color theme="1"/>
        <rFont val="Calibri"/>
        <family val="2"/>
      </rPr>
      <t>USA</t>
    </r>
  </si>
  <si>
    <t>Km</t>
  </si>
  <si>
    <r>
      <t xml:space="preserve">Rentabilidad del Mercado </t>
    </r>
    <r>
      <rPr>
        <b/>
        <u/>
        <sz val="11"/>
        <rFont val="Calibri"/>
        <family val="2"/>
      </rPr>
      <t>real</t>
    </r>
    <r>
      <rPr>
        <sz val="11"/>
        <rFont val="Calibri"/>
        <family val="2"/>
      </rPr>
      <t xml:space="preserve"> en dólares  </t>
    </r>
    <r>
      <rPr>
        <b/>
        <sz val="10"/>
        <rFont val="Calibri"/>
        <family val="2"/>
      </rPr>
      <t>Km USA</t>
    </r>
  </si>
  <si>
    <r>
      <t>Rentabilidad del Mercado</t>
    </r>
    <r>
      <rPr>
        <sz val="11"/>
        <rFont val="Calibri"/>
        <family val="2"/>
      </rPr>
      <t xml:space="preserve"> en $COL</t>
    </r>
  </si>
  <si>
    <r>
      <t xml:space="preserve">Prima de riesgo del mercado                </t>
    </r>
    <r>
      <rPr>
        <b/>
        <sz val="11"/>
        <rFont val="Calibri"/>
        <family val="2"/>
      </rPr>
      <t>(K</t>
    </r>
    <r>
      <rPr>
        <b/>
        <vertAlign val="subscript"/>
        <sz val="11"/>
        <rFont val="Calibri"/>
        <family val="2"/>
      </rPr>
      <t>m</t>
    </r>
    <r>
      <rPr>
        <b/>
        <sz val="11"/>
        <rFont val="Calibri"/>
        <family val="2"/>
      </rPr>
      <t xml:space="preserve"> - KL)</t>
    </r>
  </si>
  <si>
    <t xml:space="preserve">Beta Desapalancada BU Sectorial </t>
  </si>
  <si>
    <t xml:space="preserve"> Fuente: Damodaran</t>
  </si>
  <si>
    <r>
      <t xml:space="preserve">Deuda     </t>
    </r>
    <r>
      <rPr>
        <b/>
        <sz val="8"/>
        <color theme="1"/>
        <rFont val="Calibri"/>
        <family val="2"/>
        <scheme val="minor"/>
      </rPr>
      <t>D</t>
    </r>
  </si>
  <si>
    <t>Al inicio del año y se suman deudas contraidas durante el año (Se toma el año anterior)</t>
  </si>
  <si>
    <r>
      <t xml:space="preserve">Patrimonio       </t>
    </r>
    <r>
      <rPr>
        <b/>
        <sz val="8"/>
        <color theme="1"/>
        <rFont val="Calibri"/>
        <family val="2"/>
        <scheme val="minor"/>
      </rPr>
      <t>K</t>
    </r>
  </si>
  <si>
    <t>Al inicio del año y se suman los aportes realizados durante el año (Se toma el Año Anterior)</t>
  </si>
  <si>
    <r>
      <t xml:space="preserve">Beta Apalancada     </t>
    </r>
    <r>
      <rPr>
        <b/>
        <sz val="8"/>
        <color theme="1"/>
        <rFont val="Calibri"/>
        <family val="2"/>
        <scheme val="minor"/>
      </rPr>
      <t>BL = BU * ( 1 + (1-t) * D/P)</t>
    </r>
  </si>
  <si>
    <t>Impuesto real del año proyectado</t>
  </si>
  <si>
    <r>
      <t xml:space="preserve">Costo del Patrimonio   </t>
    </r>
    <r>
      <rPr>
        <b/>
        <sz val="11"/>
        <rFont val="Calibri"/>
        <family val="2"/>
        <scheme val="minor"/>
      </rPr>
      <t xml:space="preserve"> Ke =         Kl +    </t>
    </r>
    <r>
      <rPr>
        <b/>
        <sz val="11"/>
        <rFont val="Calibri"/>
        <family val="2"/>
      </rPr>
      <t>(K</t>
    </r>
    <r>
      <rPr>
        <b/>
        <vertAlign val="subscript"/>
        <sz val="11"/>
        <rFont val="Calibri"/>
        <family val="2"/>
      </rPr>
      <t>m</t>
    </r>
    <r>
      <rPr>
        <b/>
        <sz val="11"/>
        <rFont val="Calibri"/>
        <family val="2"/>
      </rPr>
      <t xml:space="preserve"> - KL)*B + RP</t>
    </r>
  </si>
  <si>
    <r>
      <t xml:space="preserve">Estructura Deuda       </t>
    </r>
    <r>
      <rPr>
        <b/>
        <sz val="8"/>
        <color theme="1"/>
        <rFont val="Calibri"/>
        <family val="2"/>
        <scheme val="minor"/>
      </rPr>
      <t>D/(D+ K)</t>
    </r>
  </si>
  <si>
    <r>
      <t xml:space="preserve">Estructura Patrimonio      </t>
    </r>
    <r>
      <rPr>
        <b/>
        <sz val="8"/>
        <color theme="1"/>
        <rFont val="Calibri"/>
        <family val="2"/>
        <scheme val="minor"/>
      </rPr>
      <t>K/(D+ K)</t>
    </r>
  </si>
  <si>
    <r>
      <rPr>
        <sz val="11"/>
        <color theme="1"/>
        <rFont val="Calibri"/>
        <family val="2"/>
        <scheme val="minor"/>
      </rPr>
      <t>Total Estructura de Capital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9"/>
        <color theme="1"/>
        <rFont val="Calibri"/>
        <family val="2"/>
        <scheme val="minor"/>
      </rPr>
      <t>D+K</t>
    </r>
  </si>
  <si>
    <r>
      <t xml:space="preserve">Costo Despues de Impuestos (Escudo Fiscal)  </t>
    </r>
    <r>
      <rPr>
        <b/>
        <sz val="9"/>
        <color theme="1"/>
        <rFont val="Calibri"/>
        <family val="2"/>
        <scheme val="minor"/>
      </rPr>
      <t>Kd*(1- tx)</t>
    </r>
  </si>
  <si>
    <t>Se toma la tasa de costo de deuda y se realiza el escudo fiscal con los impuestos reales del año proyectado</t>
  </si>
  <si>
    <r>
      <t xml:space="preserve">Aporte Costo de la Deuda    </t>
    </r>
    <r>
      <rPr>
        <b/>
        <sz val="9"/>
        <color theme="1"/>
        <rFont val="Calibri"/>
        <family val="2"/>
        <scheme val="minor"/>
      </rPr>
      <t>Estructura deuda * Costo</t>
    </r>
  </si>
  <si>
    <r>
      <t xml:space="preserve">Aporte Costo Patrimonio     </t>
    </r>
    <r>
      <rPr>
        <b/>
        <sz val="9"/>
        <color theme="1"/>
        <rFont val="Calibri"/>
        <family val="2"/>
        <scheme val="minor"/>
      </rPr>
      <t>Estructura Patromonio * Costo</t>
    </r>
  </si>
  <si>
    <t>COSTO DE CAPITAL - WACC</t>
  </si>
  <si>
    <t>FLUJO DE CAJA PROYECTADO</t>
  </si>
  <si>
    <t>UTILIDAD DEL EJERCICIO</t>
  </si>
  <si>
    <t>(+) Impuestos CAUSADOS</t>
  </si>
  <si>
    <t>(+) Gastos financiero</t>
  </si>
  <si>
    <t>(-) Impuestos AJUSTADOS
Impuestos operacionales</t>
  </si>
  <si>
    <t>UODI   RODI   NOPAT  NOPLAT   EBIT (1 - tx)</t>
  </si>
  <si>
    <t>(+) Depreciación</t>
  </si>
  <si>
    <t>(+) Amortizacion</t>
  </si>
  <si>
    <t>(+) Provisiones</t>
  </si>
  <si>
    <t>1 Flujo operativo o flujo bruto</t>
  </si>
  <si>
    <t>(-) Variación del capital de trabajo</t>
  </si>
  <si>
    <t>(-) Inversión en activos</t>
  </si>
  <si>
    <t>2 Financiación de inversiones</t>
  </si>
  <si>
    <t>(1 - 2) FCLO</t>
  </si>
  <si>
    <t>Anexo KTNO</t>
  </si>
  <si>
    <t xml:space="preserve">Calculo KTNO </t>
  </si>
  <si>
    <t>MÉTODO FLUJO DE CAJA DESCONTADO FCLD</t>
  </si>
  <si>
    <r>
      <t>FCLO</t>
    </r>
    <r>
      <rPr>
        <b/>
        <vertAlign val="subscript"/>
        <sz val="9"/>
        <color theme="1"/>
        <rFont val="Arial"/>
        <family val="2"/>
      </rPr>
      <t>n</t>
    </r>
  </si>
  <si>
    <t>Ultimo FCLO conocido</t>
  </si>
  <si>
    <r>
      <t xml:space="preserve">WACC </t>
    </r>
    <r>
      <rPr>
        <b/>
        <vertAlign val="subscript"/>
        <sz val="9"/>
        <color theme="1"/>
        <rFont val="Arial"/>
        <family val="2"/>
      </rPr>
      <t>n</t>
    </r>
  </si>
  <si>
    <t>Ultimo costo de capital conocido</t>
  </si>
  <si>
    <t>g</t>
  </si>
  <si>
    <t>Gradiente a perpetuidad</t>
  </si>
  <si>
    <t>M1</t>
  </si>
  <si>
    <t>MODELO ANUALIDAD PERPETUA</t>
  </si>
  <si>
    <t>FCLO (último valor conocido)</t>
  </si>
  <si>
    <t>Representa una serie de pagos Futuros Constantes y perpetuos</t>
  </si>
  <si>
    <t>WACC (último valor conocido)</t>
  </si>
  <si>
    <t>VALOR TERMINAL</t>
  </si>
  <si>
    <t>M2</t>
  </si>
  <si>
    <t>MODELO CRECIMIENTO CONSTANTE</t>
  </si>
  <si>
    <t>Representa pagos perpetuos con un grado de crecimiento constante</t>
  </si>
  <si>
    <t>Tasa de crecimiento - perpetuidad  g</t>
  </si>
  <si>
    <r>
      <t xml:space="preserve">VALOR TERMINAL                                  </t>
    </r>
    <r>
      <rPr>
        <b/>
        <sz val="8"/>
        <color theme="1"/>
        <rFont val="Arial"/>
        <family val="2"/>
      </rPr>
      <t>FCLO*(1+g) / (WAAC - g)</t>
    </r>
  </si>
  <si>
    <t>VALOR PRESENTE FLUJOS DE CAJA PROYECTADOS</t>
  </si>
  <si>
    <t>MÉTODO FLUJO DE CAJA LIBRE DESCONTADO</t>
  </si>
  <si>
    <t>Costo de Capital</t>
  </si>
  <si>
    <t>Tasa Acumulada</t>
  </si>
  <si>
    <t>FCL</t>
  </si>
  <si>
    <t>Valor Terminal</t>
  </si>
  <si>
    <t>Valor presente Flujos de caja Proyectados</t>
  </si>
  <si>
    <t>(+) VALOR PRESENTE DE LOS FLUJOS</t>
  </si>
  <si>
    <t>(+) VALOR PRESENTE DEL VALOR TERMINAL</t>
  </si>
  <si>
    <t>(=)VALOR DE LAS OPERACIONES O DE MERCADO</t>
  </si>
  <si>
    <t>Valor de mercado de la empresa</t>
  </si>
  <si>
    <r>
      <t xml:space="preserve">(Menos) Deuda operacional </t>
    </r>
    <r>
      <rPr>
        <sz val="9"/>
        <rFont val="Calibri"/>
        <family val="2"/>
        <scheme val="minor"/>
      </rPr>
      <t>(Pasivo Corriente - Oblig.Finan CP)</t>
    </r>
  </si>
  <si>
    <r>
      <t xml:space="preserve">(Más) Activo corriente </t>
    </r>
    <r>
      <rPr>
        <sz val="9"/>
        <rFont val="Calibri"/>
        <family val="2"/>
        <scheme val="minor"/>
      </rPr>
      <t>(Disp. Inver, Clientes, Invet.)</t>
    </r>
  </si>
  <si>
    <t>(Menos) Deuda financiera CP + LP</t>
  </si>
  <si>
    <t>VALOR DE MERCADO DEL PATRIMONIO</t>
  </si>
  <si>
    <t>Patrimonio contable</t>
  </si>
  <si>
    <t>Numero de Acciones</t>
  </si>
  <si>
    <t>Valor Hipotético</t>
  </si>
  <si>
    <t>Valor en Libros por acción</t>
  </si>
  <si>
    <t>Valor de Mercado de la Acción</t>
  </si>
  <si>
    <t>P/BV</t>
  </si>
  <si>
    <t>MÉTODOS CONTABLES O DE BALANCE</t>
  </si>
  <si>
    <t>VALOR PATRIMONIAL O VALOR EN LIBROS</t>
  </si>
  <si>
    <t>MÉTODOS CONTABLES O DEL BALANCE</t>
  </si>
  <si>
    <t>Pasivos Totales</t>
  </si>
  <si>
    <r>
      <t xml:space="preserve">Patrimonio       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A - P = Pat</t>
    </r>
  </si>
  <si>
    <t>Valor en Libros Acción</t>
  </si>
  <si>
    <t>VALOR SUSTANCIAL NETO</t>
  </si>
  <si>
    <t>Activos totales</t>
  </si>
  <si>
    <r>
      <t xml:space="preserve">Pasivo Exigible Deudas    </t>
    </r>
    <r>
      <rPr>
        <b/>
        <sz val="8"/>
        <color theme="1"/>
        <rFont val="Calibri"/>
        <family val="2"/>
        <scheme val="minor"/>
      </rPr>
      <t>Financiacion con terceros  FIN  CP + FIN LP + PROVE</t>
    </r>
  </si>
  <si>
    <r>
      <t xml:space="preserve">Patrimonio          </t>
    </r>
    <r>
      <rPr>
        <b/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Act   -    financiacion con terceros = Pat</t>
    </r>
  </si>
  <si>
    <t>Valor de la Acción</t>
  </si>
  <si>
    <t>MÉTODO VALOR PRESENTE EBITDA´S  PROYECTADOS</t>
  </si>
  <si>
    <t>MÉTODO DE DESCUENTO DE EBITDA, PERCEPCIÓN DE CAJA OPERATIVA</t>
  </si>
  <si>
    <t>EBITDA PROYECTADO</t>
  </si>
  <si>
    <t>Valor presente EBITDA</t>
  </si>
  <si>
    <t>(+) VALOR PRESENTO DE LOS FLUJOS</t>
  </si>
  <si>
    <t>RESUMEN RESULTADOS DE VALORACIÓN</t>
  </si>
  <si>
    <t>Método</t>
  </si>
  <si>
    <t>Valor Empresa 
Ultimo Conocido</t>
  </si>
  <si>
    <t>Ultimo Patrimonio 
Real</t>
  </si>
  <si>
    <t>Valor Creado 
Proyectado 5 Años</t>
  </si>
  <si>
    <t>P/BV Sector 
(Damodaran)</t>
  </si>
  <si>
    <t>Diferencia</t>
  </si>
  <si>
    <t>Niveles</t>
  </si>
  <si>
    <t>Valor</t>
  </si>
  <si>
    <t>Patrimonial</t>
  </si>
  <si>
    <t>Nivel Alto</t>
  </si>
  <si>
    <t>Dinámicos</t>
  </si>
  <si>
    <t>Sustancial  Neto</t>
  </si>
  <si>
    <t>Nivel Medio</t>
  </si>
  <si>
    <t>Nivel Bajo</t>
  </si>
  <si>
    <t>Contable</t>
  </si>
  <si>
    <t>FCLD</t>
  </si>
  <si>
    <t xml:space="preserve">Valor Medio </t>
  </si>
  <si>
    <t>EXTRAIDO DE DAMODARAN</t>
  </si>
  <si>
    <t>Utilidades</t>
  </si>
  <si>
    <t>EBITDA DE UTILIDAD OPERACIONAL</t>
  </si>
  <si>
    <t>VALOR MEDIO DE RECUPERACION 5X</t>
  </si>
  <si>
    <t>MODELOS DE VALORACIÓN CON ESTRATEGIA</t>
  </si>
  <si>
    <t>FLUJO DE CAJA PROYECTADO CON ESTRATEGIA</t>
  </si>
  <si>
    <t>(-) Inversión en activos (1)</t>
  </si>
  <si>
    <t>MÉTODO FLUJO DE CAJA DESCONTADO FCLD CON ESTRATEGIA</t>
  </si>
  <si>
    <r>
      <t xml:space="preserve">VALOR TERMINAL                                    </t>
    </r>
    <r>
      <rPr>
        <b/>
        <sz val="8"/>
        <color theme="1"/>
        <rFont val="Arial"/>
        <family val="2"/>
      </rPr>
      <t>FCLO*(1+g)/(WACC - g)</t>
    </r>
  </si>
  <si>
    <t>MÉTODOS CONTABLES O DE BALANCE CON ESTRATEGIA</t>
  </si>
  <si>
    <t>MÉTODO VALOR PRESENTE EBITDA´S  PROYECTADOS CON ESTRATEGIA</t>
  </si>
  <si>
    <t>RESUMEN RESULTADOS DE VALORACIÓN CON ESTRATEGIA</t>
  </si>
  <si>
    <t>GESTIÓN DE VALOR POR MÉTODO</t>
  </si>
  <si>
    <t>P/BV ANTES</t>
  </si>
  <si>
    <t>P/BV 
+ Tratamiento</t>
  </si>
  <si>
    <t>Diferencia $</t>
  </si>
  <si>
    <t>3. ESTRATEGIAS</t>
  </si>
  <si>
    <t>3.1 CIFRAS HISTORICAS</t>
  </si>
  <si>
    <t>3.2 ANALISIS FINANCIERO</t>
  </si>
  <si>
    <t>3.3 ESTRATEGIAS OPERATIVAS</t>
  </si>
  <si>
    <t>3.4 ESTADOS + ESTRATEGIA</t>
  </si>
  <si>
    <t>3.5 VALORACION SIN ESTRATEGIA</t>
  </si>
  <si>
    <t>3.6 VALORACION CON ESTRATEGIA</t>
  </si>
  <si>
    <t>estan altas porque la empresa tuvo un cartera miu alta por tema de gestión</t>
  </si>
  <si>
    <t>MP de producti terminado y no terminado</t>
  </si>
  <si>
    <t>incremente de la cuentas por pagar correientes debido al financiemaoento con proveedores</t>
  </si>
  <si>
    <t>productos importados el 70% y el 30% patentes propias</t>
  </si>
  <si>
    <t xml:space="preserve">negativo por lo inventario y la cuentas por cobrar </t>
  </si>
  <si>
    <t>tasa que venia rigiendo para el 20</t>
  </si>
  <si>
    <t>disminuyo por el aumento en el costo de ventas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</si>
</sst>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  <numFmt numFmtId="168" formatCode="_-* #,##0_-;\-* #,##0_-;_-* &quot;-&quot;??_-;_-@_-"/>
    <numFmt numFmtId="169" formatCode="_(* #,##0_);_(* \(#,##0\);_(* &quot;-&quot;_);_(@_)"/>
    <numFmt numFmtId="170" formatCode="_(* #,##0.00_);_(* \(#,##0.00\);_(* &quot;-&quot;??_);_(@_)"/>
    <numFmt numFmtId="171" formatCode="_-* #,##0.0_-;\-* #,##0.0_-;_-* &quot;-&quot;_-;_-@_-"/>
    <numFmt numFmtId="172" formatCode="0.0"/>
    <numFmt numFmtId="173" formatCode="_-* #,##0.00_-;\-* #,##0.00_-;_-* &quot;-&quot;_-;_-@_-"/>
    <numFmt numFmtId="174" formatCode="_-* #,##0.0_-;\-* #,##0.0_-;_-* &quot;-&quot;?_-;_-@_-"/>
    <numFmt numFmtId="175" formatCode="0\ &quot;p&quot;"/>
    <numFmt numFmtId="176" formatCode="_(&quot;$&quot;* #,##0_);_(&quot;$&quot;* \(#,##0\);_(&quot;$&quot;* &quot;-&quot;??_);_(@_)"/>
    <numFmt numFmtId="177" formatCode="0.00%\ ;\(0.00%\)"/>
    <numFmt numFmtId="178" formatCode="&quot;PIB = &quot;0.00%"/>
    <numFmt numFmtId="179" formatCode="#,##0.00%_ ;\(#,##0.00%\)"/>
    <numFmt numFmtId="180" formatCode="#,##0.0%_ ;\(#,##0.0%\)"/>
    <numFmt numFmtId="181" formatCode="_(* #,##0_);_(* \(#,##0\);_(* &quot;-&quot;??_);_(@_)"/>
    <numFmt numFmtId="182" formatCode="_(&quot;$&quot;\ * #,##0_);_(&quot;$&quot;\ * \(#,##0\);_(&quot;$&quot;\ * &quot;-&quot;??_);_(@_)"/>
    <numFmt numFmtId="183" formatCode="_(&quot;$&quot;\ * #,##0.00_);_(&quot;$&quot;\ * \(#,##0.00\);_(&quot;$&quot;\ * &quot;-&quot;??_);_(@_)"/>
    <numFmt numFmtId="184" formatCode="0.00\ \X"/>
    <numFmt numFmtId="185" formatCode="&quot;Crecimiento = &quot;0.00%"/>
  </numFmts>
  <fonts count="7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 val="singleAccounting"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6"/>
      <color theme="0"/>
      <name val="Agency FB"/>
      <family val="2"/>
    </font>
    <font>
      <b/>
      <sz val="14"/>
      <color theme="0"/>
      <name val="Agency FB"/>
      <family val="2"/>
    </font>
    <font>
      <b/>
      <sz val="12"/>
      <color theme="0"/>
      <name val="Times New Roman"/>
      <family val="1"/>
    </font>
    <font>
      <b/>
      <sz val="18"/>
      <color theme="0"/>
      <name val="Calibri"/>
      <family val="2"/>
      <scheme val="minor"/>
    </font>
    <font>
      <b/>
      <sz val="8"/>
      <color theme="1"/>
      <name val="Times New Roman"/>
      <family val="1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sz val="36"/>
      <color theme="0" tint="-4.9989318521683403E-2"/>
      <name val="Agency FB"/>
      <family val="2"/>
    </font>
    <font>
      <sz val="11"/>
      <color theme="0" tint="-4.9989318521683403E-2"/>
      <name val="Calibri"/>
      <family val="2"/>
      <scheme val="minor"/>
    </font>
    <font>
      <b/>
      <sz val="22"/>
      <color theme="0" tint="-4.9989318521683403E-2"/>
      <name val="Agency FB"/>
      <family val="2"/>
    </font>
    <font>
      <b/>
      <sz val="18"/>
      <color theme="1"/>
      <name val="AR DESTINE"/>
    </font>
    <font>
      <b/>
      <sz val="12"/>
      <color theme="1"/>
      <name val="Calibri"/>
      <family val="2"/>
      <scheme val="minor"/>
    </font>
    <font>
      <b/>
      <sz val="22"/>
      <color theme="0"/>
      <name val="Agency FB"/>
      <family val="2"/>
    </font>
    <font>
      <b/>
      <sz val="16"/>
      <color theme="1"/>
      <name val="Agency FB"/>
      <family val="2"/>
    </font>
    <font>
      <b/>
      <sz val="18"/>
      <color theme="0"/>
      <name val="Agency FB"/>
      <family val="2"/>
    </font>
    <font>
      <b/>
      <sz val="18"/>
      <color theme="1"/>
      <name val="Agency FB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Agency FB"/>
      <family val="2"/>
    </font>
    <font>
      <b/>
      <sz val="12"/>
      <color theme="1"/>
      <name val="Franklin Gothic Book"/>
      <family val="2"/>
    </font>
    <font>
      <b/>
      <sz val="14"/>
      <color theme="1"/>
      <name val="Agency FB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36"/>
      <color theme="0"/>
      <name val="Agency FB"/>
      <family val="2"/>
    </font>
    <font>
      <b/>
      <sz val="11"/>
      <color rgb="FF000000"/>
      <name val="Calibri"/>
      <family val="2"/>
      <scheme val="minor"/>
    </font>
    <font>
      <b/>
      <u/>
      <sz val="11"/>
      <name val="Calibri"/>
      <family val="2"/>
    </font>
    <font>
      <sz val="11"/>
      <name val="Calibri"/>
      <family val="2"/>
    </font>
    <font>
      <b/>
      <vertAlign val="subscript"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b/>
      <vertAlign val="subscript"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b/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  <font>
      <b/>
      <vertAlign val="subscript"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gency FB"/>
      <family val="2"/>
    </font>
    <font>
      <b/>
      <sz val="20"/>
      <color theme="1"/>
      <name val="Agency FB"/>
      <family val="2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1"/>
      <name val="Agency FB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59" fillId="0" borderId="0"/>
  </cellStyleXfs>
  <cellXfs count="897">
    <xf numFmtId="0" fontId="0" fillId="0" borderId="0" xfId="0"/>
    <xf numFmtId="0" fontId="2" fillId="2" borderId="0" xfId="0" applyFont="1" applyFill="1"/>
    <xf numFmtId="0" fontId="0" fillId="2" borderId="0" xfId="0" applyFill="1"/>
    <xf numFmtId="0" fontId="4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5" fillId="2" borderId="1" xfId="0" applyFont="1" applyFill="1" applyBorder="1"/>
    <xf numFmtId="0" fontId="5" fillId="2" borderId="2" xfId="0" applyFont="1" applyFill="1" applyBorder="1"/>
    <xf numFmtId="0" fontId="2" fillId="2" borderId="5" xfId="0" applyFont="1" applyFill="1" applyBorder="1"/>
    <xf numFmtId="0" fontId="0" fillId="2" borderId="5" xfId="0" applyFill="1" applyBorder="1"/>
    <xf numFmtId="0" fontId="0" fillId="2" borderId="6" xfId="0" applyFill="1" applyBorder="1"/>
    <xf numFmtId="10" fontId="0" fillId="2" borderId="6" xfId="2" applyNumberFormat="1" applyFont="1" applyFill="1" applyBorder="1"/>
    <xf numFmtId="0" fontId="0" fillId="2" borderId="7" xfId="0" applyFill="1" applyBorder="1"/>
    <xf numFmtId="10" fontId="0" fillId="2" borderId="7" xfId="2" applyNumberFormat="1" applyFont="1" applyFill="1" applyBorder="1"/>
    <xf numFmtId="10" fontId="0" fillId="2" borderId="5" xfId="2" applyNumberFormat="1" applyFont="1" applyFill="1" applyBorder="1"/>
    <xf numFmtId="0" fontId="0" fillId="2" borderId="0" xfId="0" applyFill="1" applyBorder="1"/>
    <xf numFmtId="0" fontId="2" fillId="2" borderId="8" xfId="0" applyFont="1" applyFill="1" applyBorder="1"/>
    <xf numFmtId="0" fontId="3" fillId="5" borderId="7" xfId="0" applyFont="1" applyFill="1" applyBorder="1"/>
    <xf numFmtId="0" fontId="2" fillId="4" borderId="4" xfId="0" applyFont="1" applyFill="1" applyBorder="1"/>
    <xf numFmtId="0" fontId="3" fillId="6" borderId="4" xfId="0" applyFont="1" applyFill="1" applyBorder="1"/>
    <xf numFmtId="0" fontId="0" fillId="2" borderId="9" xfId="0" applyFill="1" applyBorder="1"/>
    <xf numFmtId="0" fontId="0" fillId="2" borderId="10" xfId="0" applyFill="1" applyBorder="1"/>
    <xf numFmtId="10" fontId="0" fillId="2" borderId="0" xfId="2" applyNumberFormat="1" applyFont="1" applyFill="1" applyBorder="1"/>
    <xf numFmtId="165" fontId="0" fillId="2" borderId="0" xfId="1" applyNumberFormat="1" applyFont="1" applyFill="1" applyBorder="1"/>
    <xf numFmtId="0" fontId="9" fillId="2" borderId="0" xfId="0" applyFont="1" applyFill="1"/>
    <xf numFmtId="0" fontId="4" fillId="2" borderId="1" xfId="0" applyFont="1" applyFill="1" applyBorder="1"/>
    <xf numFmtId="3" fontId="9" fillId="2" borderId="1" xfId="0" applyNumberFormat="1" applyFont="1" applyFill="1" applyBorder="1"/>
    <xf numFmtId="0" fontId="9" fillId="2" borderId="1" xfId="0" applyFont="1" applyFill="1" applyBorder="1"/>
    <xf numFmtId="3" fontId="4" fillId="2" borderId="1" xfId="0" applyNumberFormat="1" applyFont="1" applyFill="1" applyBorder="1"/>
    <xf numFmtId="41" fontId="9" fillId="2" borderId="1" xfId="3" applyFont="1" applyFill="1" applyBorder="1"/>
    <xf numFmtId="41" fontId="4" fillId="2" borderId="1" xfId="0" applyNumberFormat="1" applyFont="1" applyFill="1" applyBorder="1"/>
    <xf numFmtId="0" fontId="10" fillId="2" borderId="14" xfId="0" applyFont="1" applyFill="1" applyBorder="1"/>
    <xf numFmtId="0" fontId="12" fillId="2" borderId="14" xfId="0" applyFont="1" applyFill="1" applyBorder="1"/>
    <xf numFmtId="168" fontId="10" fillId="2" borderId="0" xfId="4" applyNumberFormat="1" applyFont="1" applyFill="1" applyBorder="1"/>
    <xf numFmtId="0" fontId="12" fillId="2" borderId="8" xfId="0" applyFont="1" applyFill="1" applyBorder="1"/>
    <xf numFmtId="0" fontId="10" fillId="2" borderId="12" xfId="0" applyFont="1" applyFill="1" applyBorder="1"/>
    <xf numFmtId="0" fontId="11" fillId="2" borderId="13" xfId="3" applyNumberFormat="1" applyFont="1" applyFill="1" applyBorder="1" applyAlignment="1">
      <alignment horizontal="center"/>
    </xf>
    <xf numFmtId="0" fontId="11" fillId="2" borderId="11" xfId="3" applyNumberFormat="1" applyFont="1" applyFill="1" applyBorder="1" applyAlignment="1">
      <alignment horizontal="center"/>
    </xf>
    <xf numFmtId="168" fontId="11" fillId="2" borderId="0" xfId="4" applyNumberFormat="1" applyFont="1" applyFill="1" applyBorder="1" applyAlignment="1">
      <alignment horizontal="center"/>
    </xf>
    <xf numFmtId="41" fontId="14" fillId="2" borderId="0" xfId="5" applyFont="1" applyFill="1" applyBorder="1"/>
    <xf numFmtId="41" fontId="14" fillId="2" borderId="9" xfId="5" applyFont="1" applyFill="1" applyBorder="1"/>
    <xf numFmtId="0" fontId="0" fillId="2" borderId="8" xfId="0" applyFill="1" applyBorder="1"/>
    <xf numFmtId="0" fontId="0" fillId="2" borderId="15" xfId="0" applyFill="1" applyBorder="1"/>
    <xf numFmtId="41" fontId="0" fillId="2" borderId="0" xfId="0" applyNumberFormat="1" applyFill="1"/>
    <xf numFmtId="0" fontId="12" fillId="2" borderId="16" xfId="0" applyFont="1" applyFill="1" applyBorder="1"/>
    <xf numFmtId="0" fontId="10" fillId="2" borderId="8" xfId="0" applyFont="1" applyFill="1" applyBorder="1"/>
    <xf numFmtId="41" fontId="9" fillId="8" borderId="1" xfId="3" applyFont="1" applyFill="1" applyBorder="1"/>
    <xf numFmtId="3" fontId="9" fillId="8" borderId="1" xfId="0" applyNumberFormat="1" applyFont="1" applyFill="1" applyBorder="1"/>
    <xf numFmtId="0" fontId="2" fillId="7" borderId="5" xfId="0" applyFont="1" applyFill="1" applyBorder="1"/>
    <xf numFmtId="0" fontId="8" fillId="2" borderId="0" xfId="0" applyFont="1" applyFill="1" applyBorder="1" applyAlignment="1"/>
    <xf numFmtId="2" fontId="0" fillId="2" borderId="7" xfId="0" applyNumberFormat="1" applyFill="1" applyBorder="1" applyAlignment="1">
      <alignment horizontal="center" vertical="center"/>
    </xf>
    <xf numFmtId="0" fontId="18" fillId="8" borderId="1" xfId="0" applyFont="1" applyFill="1" applyBorder="1"/>
    <xf numFmtId="0" fontId="3" fillId="8" borderId="1" xfId="0" applyFont="1" applyFill="1" applyBorder="1"/>
    <xf numFmtId="0" fontId="3" fillId="8" borderId="1" xfId="0" applyFont="1" applyFill="1" applyBorder="1" applyAlignment="1">
      <alignment horizontal="center" vertical="center" wrapText="1"/>
    </xf>
    <xf numFmtId="10" fontId="9" fillId="2" borderId="1" xfId="2" applyNumberFormat="1" applyFont="1" applyFill="1" applyBorder="1"/>
    <xf numFmtId="166" fontId="4" fillId="2" borderId="1" xfId="1" applyNumberFormat="1" applyFont="1" applyFill="1" applyBorder="1"/>
    <xf numFmtId="10" fontId="9" fillId="2" borderId="1" xfId="0" applyNumberFormat="1" applyFont="1" applyFill="1" applyBorder="1"/>
    <xf numFmtId="10" fontId="4" fillId="2" borderId="1" xfId="0" applyNumberFormat="1" applyFont="1" applyFill="1" applyBorder="1"/>
    <xf numFmtId="0" fontId="8" fillId="8" borderId="1" xfId="0" applyNumberFormat="1" applyFont="1" applyFill="1" applyBorder="1"/>
    <xf numFmtId="0" fontId="8" fillId="8" borderId="1" xfId="0" applyFont="1" applyFill="1" applyBorder="1"/>
    <xf numFmtId="0" fontId="8" fillId="8" borderId="1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4" fillId="2" borderId="2" xfId="0" applyFont="1" applyFill="1" applyBorder="1"/>
    <xf numFmtId="166" fontId="9" fillId="2" borderId="1" xfId="1" applyNumberFormat="1" applyFont="1" applyFill="1" applyBorder="1"/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/>
    <xf numFmtId="166" fontId="4" fillId="2" borderId="1" xfId="0" applyNumberFormat="1" applyFont="1" applyFill="1" applyBorder="1"/>
    <xf numFmtId="166" fontId="9" fillId="2" borderId="1" xfId="0" applyNumberFormat="1" applyFont="1" applyFill="1" applyBorder="1"/>
    <xf numFmtId="165" fontId="4" fillId="2" borderId="1" xfId="0" applyNumberFormat="1" applyFont="1" applyFill="1" applyBorder="1" applyAlignment="1">
      <alignment horizontal="center"/>
    </xf>
    <xf numFmtId="167" fontId="4" fillId="2" borderId="1" xfId="2" applyNumberFormat="1" applyFont="1" applyFill="1" applyBorder="1" applyAlignment="1">
      <alignment horizontal="right"/>
    </xf>
    <xf numFmtId="165" fontId="4" fillId="2" borderId="1" xfId="1" applyFont="1" applyFill="1" applyBorder="1"/>
    <xf numFmtId="0" fontId="8" fillId="8" borderId="3" xfId="0" applyNumberFormat="1" applyFont="1" applyFill="1" applyBorder="1"/>
    <xf numFmtId="0" fontId="0" fillId="8" borderId="0" xfId="0" applyFill="1"/>
    <xf numFmtId="0" fontId="9" fillId="8" borderId="0" xfId="0" applyFont="1" applyFill="1"/>
    <xf numFmtId="0" fontId="4" fillId="8" borderId="0" xfId="0" applyFont="1" applyFill="1" applyBorder="1"/>
    <xf numFmtId="0" fontId="8" fillId="8" borderId="1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6" xfId="0" applyFont="1" applyFill="1" applyBorder="1"/>
    <xf numFmtId="0" fontId="0" fillId="9" borderId="6" xfId="0" applyFill="1" applyBorder="1"/>
    <xf numFmtId="0" fontId="2" fillId="9" borderId="7" xfId="0" applyFont="1" applyFill="1" applyBorder="1"/>
    <xf numFmtId="3" fontId="0" fillId="2" borderId="0" xfId="0" applyNumberFormat="1" applyFill="1"/>
    <xf numFmtId="9" fontId="0" fillId="2" borderId="22" xfId="2" applyFont="1" applyFill="1" applyBorder="1"/>
    <xf numFmtId="0" fontId="2" fillId="2" borderId="23" xfId="0" applyFont="1" applyFill="1" applyBorder="1"/>
    <xf numFmtId="0" fontId="2" fillId="2" borderId="24" xfId="0" applyFont="1" applyFill="1" applyBorder="1"/>
    <xf numFmtId="0" fontId="2" fillId="2" borderId="25" xfId="0" applyFont="1" applyFill="1" applyBorder="1"/>
    <xf numFmtId="10" fontId="9" fillId="2" borderId="0" xfId="0" applyNumberFormat="1" applyFont="1" applyFill="1"/>
    <xf numFmtId="41" fontId="4" fillId="2" borderId="1" xfId="3" applyFont="1" applyFill="1" applyBorder="1"/>
    <xf numFmtId="10" fontId="4" fillId="2" borderId="1" xfId="2" applyNumberFormat="1" applyFont="1" applyFill="1" applyBorder="1"/>
    <xf numFmtId="10" fontId="2" fillId="10" borderId="0" xfId="0" applyNumberFormat="1" applyFont="1" applyFill="1"/>
    <xf numFmtId="0" fontId="2" fillId="10" borderId="0" xfId="0" applyFont="1" applyFill="1"/>
    <xf numFmtId="165" fontId="0" fillId="2" borderId="5" xfId="1" applyFont="1" applyFill="1" applyBorder="1" applyAlignment="1">
      <alignment horizontal="center" vertical="center"/>
    </xf>
    <xf numFmtId="165" fontId="0" fillId="2" borderId="6" xfId="1" applyFont="1" applyFill="1" applyBorder="1" applyAlignment="1">
      <alignment horizontal="center" vertical="center"/>
    </xf>
    <xf numFmtId="0" fontId="2" fillId="10" borderId="12" xfId="0" applyFont="1" applyFill="1" applyBorder="1"/>
    <xf numFmtId="0" fontId="2" fillId="10" borderId="13" xfId="0" applyFont="1" applyFill="1" applyBorder="1"/>
    <xf numFmtId="0" fontId="2" fillId="10" borderId="11" xfId="0" applyFont="1" applyFill="1" applyBorder="1"/>
    <xf numFmtId="0" fontId="2" fillId="10" borderId="14" xfId="0" applyFont="1" applyFill="1" applyBorder="1"/>
    <xf numFmtId="0" fontId="2" fillId="10" borderId="0" xfId="0" applyFont="1" applyFill="1" applyBorder="1"/>
    <xf numFmtId="0" fontId="2" fillId="10" borderId="9" xfId="0" applyFont="1" applyFill="1" applyBorder="1"/>
    <xf numFmtId="0" fontId="2" fillId="10" borderId="8" xfId="0" applyFont="1" applyFill="1" applyBorder="1"/>
    <xf numFmtId="0" fontId="2" fillId="10" borderId="15" xfId="0" applyFont="1" applyFill="1" applyBorder="1"/>
    <xf numFmtId="0" fontId="2" fillId="10" borderId="10" xfId="0" applyFont="1" applyFill="1" applyBorder="1"/>
    <xf numFmtId="9" fontId="0" fillId="2" borderId="0" xfId="0" applyNumberFormat="1" applyFill="1"/>
    <xf numFmtId="38" fontId="12" fillId="2" borderId="0" xfId="4" applyNumberFormat="1" applyFont="1" applyFill="1" applyBorder="1"/>
    <xf numFmtId="38" fontId="10" fillId="2" borderId="0" xfId="4" applyNumberFormat="1" applyFont="1" applyFill="1" applyBorder="1"/>
    <xf numFmtId="1" fontId="19" fillId="2" borderId="17" xfId="3" applyNumberFormat="1" applyFont="1" applyFill="1" applyBorder="1"/>
    <xf numFmtId="1" fontId="19" fillId="2" borderId="18" xfId="3" applyNumberFormat="1" applyFont="1" applyFill="1" applyBorder="1"/>
    <xf numFmtId="38" fontId="10" fillId="2" borderId="9" xfId="4" applyNumberFormat="1" applyFont="1" applyFill="1" applyBorder="1"/>
    <xf numFmtId="38" fontId="12" fillId="2" borderId="9" xfId="4" applyNumberFormat="1" applyFont="1" applyFill="1" applyBorder="1"/>
    <xf numFmtId="38" fontId="12" fillId="2" borderId="15" xfId="4" applyNumberFormat="1" applyFont="1" applyFill="1" applyBorder="1"/>
    <xf numFmtId="38" fontId="12" fillId="2" borderId="10" xfId="4" applyNumberFormat="1" applyFont="1" applyFill="1" applyBorder="1"/>
    <xf numFmtId="0" fontId="17" fillId="8" borderId="16" xfId="0" applyFont="1" applyFill="1" applyBorder="1"/>
    <xf numFmtId="38" fontId="10" fillId="2" borderId="14" xfId="4" applyNumberFormat="1" applyFont="1" applyFill="1" applyBorder="1"/>
    <xf numFmtId="38" fontId="10" fillId="2" borderId="8" xfId="4" applyNumberFormat="1" applyFont="1" applyFill="1" applyBorder="1"/>
    <xf numFmtId="38" fontId="10" fillId="2" borderId="15" xfId="4" applyNumberFormat="1" applyFont="1" applyFill="1" applyBorder="1"/>
    <xf numFmtId="38" fontId="10" fillId="2" borderId="10" xfId="4" applyNumberFormat="1" applyFont="1" applyFill="1" applyBorder="1"/>
    <xf numFmtId="0" fontId="11" fillId="2" borderId="16" xfId="3" applyNumberFormat="1" applyFont="1" applyFill="1" applyBorder="1" applyAlignment="1">
      <alignment horizontal="center"/>
    </xf>
    <xf numFmtId="0" fontId="11" fillId="2" borderId="17" xfId="3" applyNumberFormat="1" applyFont="1" applyFill="1" applyBorder="1" applyAlignment="1">
      <alignment horizontal="center"/>
    </xf>
    <xf numFmtId="0" fontId="11" fillId="2" borderId="18" xfId="3" applyNumberFormat="1" applyFont="1" applyFill="1" applyBorder="1" applyAlignment="1">
      <alignment horizontal="center"/>
    </xf>
    <xf numFmtId="10" fontId="0" fillId="2" borderId="0" xfId="0" applyNumberFormat="1" applyFill="1"/>
    <xf numFmtId="0" fontId="6" fillId="10" borderId="0" xfId="0" applyFont="1" applyFill="1"/>
    <xf numFmtId="0" fontId="0" fillId="10" borderId="0" xfId="0" applyFill="1"/>
    <xf numFmtId="0" fontId="9" fillId="10" borderId="0" xfId="0" applyFont="1" applyFill="1"/>
    <xf numFmtId="0" fontId="7" fillId="10" borderId="0" xfId="0" applyFont="1" applyFill="1"/>
    <xf numFmtId="0" fontId="10" fillId="0" borderId="14" xfId="0" applyFont="1" applyFill="1" applyBorder="1"/>
    <xf numFmtId="38" fontId="10" fillId="0" borderId="0" xfId="4" applyNumberFormat="1" applyFont="1" applyFill="1" applyBorder="1"/>
    <xf numFmtId="38" fontId="10" fillId="0" borderId="9" xfId="4" applyNumberFormat="1" applyFont="1" applyFill="1" applyBorder="1"/>
    <xf numFmtId="0" fontId="8" fillId="8" borderId="1" xfId="0" applyFont="1" applyFill="1" applyBorder="1" applyAlignment="1">
      <alignment horizontal="left"/>
    </xf>
    <xf numFmtId="0" fontId="2" fillId="3" borderId="5" xfId="0" applyFont="1" applyFill="1" applyBorder="1"/>
    <xf numFmtId="0" fontId="0" fillId="2" borderId="12" xfId="0" applyFill="1" applyBorder="1"/>
    <xf numFmtId="166" fontId="0" fillId="2" borderId="13" xfId="1" applyNumberFormat="1" applyFont="1" applyFill="1" applyBorder="1"/>
    <xf numFmtId="0" fontId="0" fillId="2" borderId="14" xfId="0" applyFill="1" applyBorder="1"/>
    <xf numFmtId="165" fontId="0" fillId="2" borderId="15" xfId="1" applyNumberFormat="1" applyFont="1" applyFill="1" applyBorder="1"/>
    <xf numFmtId="9" fontId="0" fillId="2" borderId="0" xfId="2" applyFont="1" applyFill="1"/>
    <xf numFmtId="10" fontId="0" fillId="2" borderId="0" xfId="2" applyNumberFormat="1" applyFont="1" applyFill="1"/>
    <xf numFmtId="38" fontId="0" fillId="2" borderId="0" xfId="0" applyNumberFormat="1" applyFill="1"/>
    <xf numFmtId="0" fontId="6" fillId="2" borderId="0" xfId="0" applyFont="1" applyFill="1" applyAlignment="1"/>
    <xf numFmtId="0" fontId="10" fillId="2" borderId="0" xfId="0" applyFont="1" applyFill="1" applyBorder="1"/>
    <xf numFmtId="0" fontId="6" fillId="7" borderId="4" xfId="0" applyFont="1" applyFill="1" applyBorder="1" applyAlignment="1"/>
    <xf numFmtId="0" fontId="0" fillId="0" borderId="0" xfId="0" applyAlignment="1"/>
    <xf numFmtId="9" fontId="0" fillId="0" borderId="0" xfId="2" applyFont="1"/>
    <xf numFmtId="10" fontId="0" fillId="0" borderId="0" xfId="2" applyNumberFormat="1" applyFont="1"/>
    <xf numFmtId="41" fontId="0" fillId="0" borderId="0" xfId="3" applyNumberFormat="1" applyFont="1"/>
    <xf numFmtId="41" fontId="0" fillId="0" borderId="0" xfId="3" applyFont="1"/>
    <xf numFmtId="171" fontId="0" fillId="0" borderId="0" xfId="3" applyNumberFormat="1" applyFont="1"/>
    <xf numFmtId="172" fontId="0" fillId="0" borderId="0" xfId="0" applyNumberFormat="1"/>
    <xf numFmtId="171" fontId="0" fillId="0" borderId="0" xfId="0" applyNumberFormat="1"/>
    <xf numFmtId="173" fontId="0" fillId="0" borderId="0" xfId="3" applyNumberFormat="1" applyFont="1"/>
    <xf numFmtId="0" fontId="25" fillId="7" borderId="4" xfId="9" applyFont="1" applyFill="1" applyBorder="1"/>
    <xf numFmtId="0" fontId="27" fillId="11" borderId="14" xfId="0" applyFont="1" applyFill="1" applyBorder="1" applyAlignment="1"/>
    <xf numFmtId="0" fontId="27" fillId="11" borderId="0" xfId="0" applyFont="1" applyFill="1" applyBorder="1" applyAlignment="1"/>
    <xf numFmtId="0" fontId="3" fillId="12" borderId="26" xfId="0" applyNumberFormat="1" applyFont="1" applyFill="1" applyBorder="1"/>
    <xf numFmtId="0" fontId="2" fillId="13" borderId="19" xfId="0" applyNumberFormat="1" applyFont="1" applyFill="1" applyBorder="1"/>
    <xf numFmtId="0" fontId="2" fillId="13" borderId="20" xfId="0" applyNumberFormat="1" applyFont="1" applyFill="1" applyBorder="1"/>
    <xf numFmtId="0" fontId="2" fillId="13" borderId="21" xfId="0" applyNumberFormat="1" applyFont="1" applyFill="1" applyBorder="1"/>
    <xf numFmtId="0" fontId="20" fillId="3" borderId="27" xfId="0" applyFont="1" applyFill="1" applyBorder="1"/>
    <xf numFmtId="168" fontId="10" fillId="2" borderId="1" xfId="4" applyNumberFormat="1" applyFont="1" applyFill="1" applyBorder="1"/>
    <xf numFmtId="10" fontId="1" fillId="2" borderId="28" xfId="2" applyNumberFormat="1" applyFont="1" applyFill="1" applyBorder="1"/>
    <xf numFmtId="41" fontId="2" fillId="2" borderId="1" xfId="3" applyFont="1" applyFill="1" applyBorder="1"/>
    <xf numFmtId="10" fontId="2" fillId="2" borderId="28" xfId="2" applyNumberFormat="1" applyFont="1" applyFill="1" applyBorder="1"/>
    <xf numFmtId="0" fontId="20" fillId="3" borderId="28" xfId="0" applyFont="1" applyFill="1" applyBorder="1"/>
    <xf numFmtId="10" fontId="0" fillId="2" borderId="1" xfId="2" applyNumberFormat="1" applyFont="1" applyFill="1" applyBorder="1"/>
    <xf numFmtId="10" fontId="2" fillId="2" borderId="1" xfId="2" applyNumberFormat="1" applyFont="1" applyFill="1" applyBorder="1"/>
    <xf numFmtId="0" fontId="0" fillId="2" borderId="0" xfId="0" applyFill="1" applyBorder="1" applyAlignment="1">
      <alignment horizontal="left"/>
    </xf>
    <xf numFmtId="41" fontId="2" fillId="14" borderId="1" xfId="3" applyFont="1" applyFill="1" applyBorder="1"/>
    <xf numFmtId="0" fontId="0" fillId="2" borderId="0" xfId="0" applyFill="1" applyAlignment="1">
      <alignment horizontal="left"/>
    </xf>
    <xf numFmtId="10" fontId="0" fillId="2" borderId="28" xfId="2" applyNumberFormat="1" applyFont="1" applyFill="1" applyBorder="1"/>
    <xf numFmtId="1" fontId="0" fillId="8" borderId="1" xfId="0" applyNumberFormat="1" applyFill="1" applyBorder="1"/>
    <xf numFmtId="0" fontId="2" fillId="12" borderId="26" xfId="0" applyNumberFormat="1" applyFont="1" applyFill="1" applyBorder="1"/>
    <xf numFmtId="0" fontId="2" fillId="12" borderId="29" xfId="0" applyNumberFormat="1" applyFont="1" applyFill="1" applyBorder="1"/>
    <xf numFmtId="0" fontId="3" fillId="15" borderId="30" xfId="0" applyNumberFormat="1" applyFont="1" applyFill="1" applyBorder="1"/>
    <xf numFmtId="0" fontId="3" fillId="15" borderId="31" xfId="0" applyNumberFormat="1" applyFont="1" applyFill="1" applyBorder="1"/>
    <xf numFmtId="0" fontId="3" fillId="15" borderId="32" xfId="0" applyNumberFormat="1" applyFont="1" applyFill="1" applyBorder="1"/>
    <xf numFmtId="0" fontId="20" fillId="15" borderId="23" xfId="0" applyFont="1" applyFill="1" applyBorder="1"/>
    <xf numFmtId="0" fontId="0" fillId="15" borderId="7" xfId="0" applyFill="1" applyBorder="1"/>
    <xf numFmtId="10" fontId="2" fillId="2" borderId="26" xfId="0" applyNumberFormat="1" applyFont="1" applyFill="1" applyBorder="1"/>
    <xf numFmtId="0" fontId="2" fillId="2" borderId="1" xfId="0" applyFont="1" applyFill="1" applyBorder="1"/>
    <xf numFmtId="10" fontId="0" fillId="2" borderId="1" xfId="0" applyNumberFormat="1" applyFont="1" applyFill="1" applyBorder="1"/>
    <xf numFmtId="10" fontId="0" fillId="2" borderId="26" xfId="0" applyNumberFormat="1" applyFont="1" applyFill="1" applyBorder="1"/>
    <xf numFmtId="3" fontId="2" fillId="2" borderId="1" xfId="0" applyNumberFormat="1" applyFont="1" applyFill="1" applyBorder="1"/>
    <xf numFmtId="0" fontId="0" fillId="4" borderId="1" xfId="0" applyFill="1" applyBorder="1"/>
    <xf numFmtId="10" fontId="0" fillId="4" borderId="1" xfId="0" applyNumberFormat="1" applyFont="1" applyFill="1" applyBorder="1"/>
    <xf numFmtId="41" fontId="14" fillId="2" borderId="1" xfId="5" applyFont="1" applyFill="1" applyBorder="1"/>
    <xf numFmtId="10" fontId="2" fillId="2" borderId="1" xfId="0" applyNumberFormat="1" applyFont="1" applyFill="1" applyBorder="1"/>
    <xf numFmtId="10" fontId="2" fillId="2" borderId="0" xfId="0" applyNumberFormat="1" applyFont="1" applyFill="1"/>
    <xf numFmtId="41" fontId="14" fillId="0" borderId="1" xfId="5" applyFont="1" applyFill="1" applyBorder="1"/>
    <xf numFmtId="10" fontId="0" fillId="0" borderId="28" xfId="2" applyNumberFormat="1" applyFont="1" applyFill="1" applyBorder="1"/>
    <xf numFmtId="10" fontId="0" fillId="0" borderId="1" xfId="2" applyNumberFormat="1" applyFont="1" applyFill="1" applyBorder="1"/>
    <xf numFmtId="10" fontId="0" fillId="0" borderId="26" xfId="0" applyNumberFormat="1" applyFont="1" applyFill="1" applyBorder="1"/>
    <xf numFmtId="0" fontId="0" fillId="2" borderId="1" xfId="0" applyFill="1" applyBorder="1"/>
    <xf numFmtId="10" fontId="0" fillId="2" borderId="1" xfId="0" applyNumberFormat="1" applyFill="1" applyBorder="1"/>
    <xf numFmtId="0" fontId="20" fillId="15" borderId="27" xfId="0" applyFont="1" applyFill="1" applyBorder="1"/>
    <xf numFmtId="0" fontId="20" fillId="15" borderId="28" xfId="0" applyFont="1" applyFill="1" applyBorder="1"/>
    <xf numFmtId="10" fontId="0" fillId="15" borderId="1" xfId="0" applyNumberFormat="1" applyFill="1" applyBorder="1"/>
    <xf numFmtId="0" fontId="20" fillId="16" borderId="23" xfId="0" applyFont="1" applyFill="1" applyBorder="1"/>
    <xf numFmtId="0" fontId="2" fillId="2" borderId="0" xfId="0" applyFont="1" applyFill="1" applyBorder="1" applyAlignment="1">
      <alignment horizontal="left"/>
    </xf>
    <xf numFmtId="3" fontId="2" fillId="2" borderId="0" xfId="0" applyNumberFormat="1" applyFont="1" applyFill="1" applyBorder="1"/>
    <xf numFmtId="10" fontId="2" fillId="2" borderId="0" xfId="2" applyNumberFormat="1" applyFont="1" applyFill="1" applyBorder="1"/>
    <xf numFmtId="10" fontId="2" fillId="2" borderId="0" xfId="0" applyNumberFormat="1" applyFont="1" applyFill="1" applyBorder="1"/>
    <xf numFmtId="0" fontId="0" fillId="2" borderId="1" xfId="0" applyFont="1" applyFill="1" applyBorder="1"/>
    <xf numFmtId="0" fontId="0" fillId="2" borderId="17" xfId="0" applyFill="1" applyBorder="1"/>
    <xf numFmtId="0" fontId="2" fillId="12" borderId="19" xfId="0" applyNumberFormat="1" applyFont="1" applyFill="1" applyBorder="1"/>
    <xf numFmtId="0" fontId="2" fillId="12" borderId="20" xfId="0" applyNumberFormat="1" applyFont="1" applyFill="1" applyBorder="1"/>
    <xf numFmtId="0" fontId="2" fillId="12" borderId="21" xfId="0" applyNumberFormat="1" applyFont="1" applyFill="1" applyBorder="1"/>
    <xf numFmtId="0" fontId="0" fillId="2" borderId="13" xfId="0" applyFill="1" applyBorder="1"/>
    <xf numFmtId="168" fontId="10" fillId="2" borderId="12" xfId="4" applyNumberFormat="1" applyFont="1" applyFill="1" applyBorder="1"/>
    <xf numFmtId="168" fontId="10" fillId="2" borderId="13" xfId="4" applyNumberFormat="1" applyFont="1" applyFill="1" applyBorder="1"/>
    <xf numFmtId="168" fontId="10" fillId="2" borderId="11" xfId="4" applyNumberFormat="1" applyFont="1" applyFill="1" applyBorder="1"/>
    <xf numFmtId="168" fontId="10" fillId="2" borderId="8" xfId="4" applyNumberFormat="1" applyFont="1" applyFill="1" applyBorder="1"/>
    <xf numFmtId="168" fontId="10" fillId="2" borderId="15" xfId="4" applyNumberFormat="1" applyFont="1" applyFill="1" applyBorder="1"/>
    <xf numFmtId="168" fontId="10" fillId="2" borderId="10" xfId="4" applyNumberFormat="1" applyFont="1" applyFill="1" applyBorder="1"/>
    <xf numFmtId="0" fontId="20" fillId="11" borderId="8" xfId="0" applyFont="1" applyFill="1" applyBorder="1"/>
    <xf numFmtId="0" fontId="0" fillId="11" borderId="15" xfId="0" applyFill="1" applyBorder="1"/>
    <xf numFmtId="0" fontId="0" fillId="11" borderId="10" xfId="0" applyFill="1" applyBorder="1"/>
    <xf numFmtId="0" fontId="3" fillId="2" borderId="0" xfId="0" applyNumberFormat="1" applyFont="1" applyFill="1" applyBorder="1"/>
    <xf numFmtId="0" fontId="2" fillId="2" borderId="19" xfId="0" applyFont="1" applyFill="1" applyBorder="1"/>
    <xf numFmtId="0" fontId="2" fillId="18" borderId="20" xfId="0" applyFont="1" applyFill="1" applyBorder="1"/>
    <xf numFmtId="0" fontId="2" fillId="18" borderId="21" xfId="0" applyFont="1" applyFill="1" applyBorder="1"/>
    <xf numFmtId="0" fontId="3" fillId="17" borderId="19" xfId="0" applyFont="1" applyFill="1" applyBorder="1"/>
    <xf numFmtId="0" fontId="3" fillId="17" borderId="20" xfId="0" applyFont="1" applyFill="1" applyBorder="1"/>
    <xf numFmtId="0" fontId="3" fillId="17" borderId="21" xfId="0" applyFont="1" applyFill="1" applyBorder="1"/>
    <xf numFmtId="0" fontId="2" fillId="2" borderId="35" xfId="0" applyFont="1" applyFill="1" applyBorder="1"/>
    <xf numFmtId="167" fontId="0" fillId="2" borderId="36" xfId="0" applyNumberFormat="1" applyFill="1" applyBorder="1"/>
    <xf numFmtId="167" fontId="0" fillId="2" borderId="37" xfId="0" applyNumberFormat="1" applyFill="1" applyBorder="1"/>
    <xf numFmtId="167" fontId="0" fillId="2" borderId="35" xfId="0" applyNumberFormat="1" applyFill="1" applyBorder="1"/>
    <xf numFmtId="0" fontId="34" fillId="2" borderId="12" xfId="0" applyFont="1" applyFill="1" applyBorder="1" applyAlignment="1"/>
    <xf numFmtId="0" fontId="34" fillId="2" borderId="13" xfId="0" applyFont="1" applyFill="1" applyBorder="1" applyAlignment="1"/>
    <xf numFmtId="0" fontId="33" fillId="8" borderId="5" xfId="0" applyFont="1" applyFill="1" applyBorder="1" applyAlignment="1"/>
    <xf numFmtId="0" fontId="3" fillId="12" borderId="38" xfId="0" applyNumberFormat="1" applyFont="1" applyFill="1" applyBorder="1"/>
    <xf numFmtId="0" fontId="3" fillId="12" borderId="39" xfId="0" applyNumberFormat="1" applyFont="1" applyFill="1" applyBorder="1"/>
    <xf numFmtId="0" fontId="3" fillId="12" borderId="40" xfId="0" applyNumberFormat="1" applyFont="1" applyFill="1" applyBorder="1"/>
    <xf numFmtId="0" fontId="3" fillId="17" borderId="38" xfId="0" applyNumberFormat="1" applyFont="1" applyFill="1" applyBorder="1"/>
    <xf numFmtId="0" fontId="3" fillId="17" borderId="39" xfId="0" applyNumberFormat="1" applyFont="1" applyFill="1" applyBorder="1"/>
    <xf numFmtId="0" fontId="3" fillId="17" borderId="40" xfId="0" applyNumberFormat="1" applyFont="1" applyFill="1" applyBorder="1"/>
    <xf numFmtId="0" fontId="33" fillId="8" borderId="9" xfId="0" applyFont="1" applyFill="1" applyBorder="1" applyAlignment="1"/>
    <xf numFmtId="0" fontId="3" fillId="17" borderId="41" xfId="0" applyNumberFormat="1" applyFont="1" applyFill="1" applyBorder="1"/>
    <xf numFmtId="0" fontId="3" fillId="17" borderId="42" xfId="0" applyNumberFormat="1" applyFont="1" applyFill="1" applyBorder="1"/>
    <xf numFmtId="0" fontId="3" fillId="17" borderId="43" xfId="0" applyNumberFormat="1" applyFont="1" applyFill="1" applyBorder="1"/>
    <xf numFmtId="0" fontId="3" fillId="17" borderId="44" xfId="0" applyNumberFormat="1" applyFont="1" applyFill="1" applyBorder="1"/>
    <xf numFmtId="10" fontId="35" fillId="2" borderId="1" xfId="2" applyNumberFormat="1" applyFont="1" applyFill="1" applyBorder="1"/>
    <xf numFmtId="10" fontId="0" fillId="2" borderId="45" xfId="0" applyNumberFormat="1" applyFill="1" applyBorder="1"/>
    <xf numFmtId="10" fontId="0" fillId="2" borderId="46" xfId="0" applyNumberFormat="1" applyFill="1" applyBorder="1"/>
    <xf numFmtId="0" fontId="0" fillId="2" borderId="24" xfId="0" applyFill="1" applyBorder="1"/>
    <xf numFmtId="10" fontId="0" fillId="2" borderId="28" xfId="0" applyNumberFormat="1" applyFill="1" applyBorder="1"/>
    <xf numFmtId="10" fontId="0" fillId="19" borderId="45" xfId="2" applyNumberFormat="1" applyFont="1" applyFill="1" applyBorder="1"/>
    <xf numFmtId="10" fontId="0" fillId="2" borderId="45" xfId="2" applyNumberFormat="1" applyFont="1" applyFill="1" applyBorder="1"/>
    <xf numFmtId="10" fontId="0" fillId="2" borderId="46" xfId="2" applyNumberFormat="1" applyFont="1" applyFill="1" applyBorder="1"/>
    <xf numFmtId="10" fontId="2" fillId="18" borderId="47" xfId="2" applyNumberFormat="1" applyFont="1" applyFill="1" applyBorder="1"/>
    <xf numFmtId="10" fontId="2" fillId="20" borderId="48" xfId="2" applyNumberFormat="1" applyFont="1" applyFill="1" applyBorder="1"/>
    <xf numFmtId="10" fontId="0" fillId="8" borderId="45" xfId="0" applyNumberFormat="1" applyFill="1" applyBorder="1"/>
    <xf numFmtId="10" fontId="2" fillId="21" borderId="1" xfId="0" applyNumberFormat="1" applyFont="1" applyFill="1" applyBorder="1"/>
    <xf numFmtId="10" fontId="2" fillId="22" borderId="45" xfId="0" applyNumberFormat="1" applyFont="1" applyFill="1" applyBorder="1"/>
    <xf numFmtId="10" fontId="2" fillId="2" borderId="0" xfId="2" applyNumberFormat="1" applyFont="1" applyFill="1" applyBorder="1" applyAlignment="1">
      <alignment horizontal="center"/>
    </xf>
    <xf numFmtId="0" fontId="36" fillId="2" borderId="48" xfId="0" applyFont="1" applyFill="1" applyBorder="1"/>
    <xf numFmtId="0" fontId="33" fillId="8" borderId="6" xfId="0" applyFont="1" applyFill="1" applyBorder="1" applyAlignment="1"/>
    <xf numFmtId="0" fontId="3" fillId="12" borderId="29" xfId="0" applyNumberFormat="1" applyFont="1" applyFill="1" applyBorder="1"/>
    <xf numFmtId="0" fontId="3" fillId="17" borderId="19" xfId="0" applyNumberFormat="1" applyFont="1" applyFill="1" applyBorder="1"/>
    <xf numFmtId="0" fontId="3" fillId="17" borderId="20" xfId="0" applyNumberFormat="1" applyFont="1" applyFill="1" applyBorder="1"/>
    <xf numFmtId="0" fontId="3" fillId="17" borderId="21" xfId="0" applyNumberFormat="1" applyFont="1" applyFill="1" applyBorder="1"/>
    <xf numFmtId="0" fontId="20" fillId="17" borderId="27" xfId="0" applyFont="1" applyFill="1" applyBorder="1"/>
    <xf numFmtId="41" fontId="30" fillId="2" borderId="1" xfId="3" applyFont="1" applyFill="1" applyBorder="1"/>
    <xf numFmtId="41" fontId="30" fillId="14" borderId="1" xfId="3" applyFont="1" applyFill="1" applyBorder="1"/>
    <xf numFmtId="41" fontId="30" fillId="17" borderId="27" xfId="3" applyFont="1" applyFill="1" applyBorder="1"/>
    <xf numFmtId="0" fontId="2" fillId="2" borderId="0" xfId="0" applyFont="1" applyFill="1" applyBorder="1"/>
    <xf numFmtId="41" fontId="0" fillId="2" borderId="0" xfId="0" applyNumberFormat="1" applyFill="1" applyBorder="1"/>
    <xf numFmtId="0" fontId="20" fillId="2" borderId="0" xfId="0" applyFont="1" applyFill="1" applyBorder="1"/>
    <xf numFmtId="167" fontId="0" fillId="2" borderId="0" xfId="2" applyNumberFormat="1" applyFont="1" applyFill="1" applyBorder="1"/>
    <xf numFmtId="174" fontId="0" fillId="2" borderId="0" xfId="0" applyNumberFormat="1" applyFill="1" applyBorder="1"/>
    <xf numFmtId="0" fontId="0" fillId="2" borderId="0" xfId="0" applyFont="1" applyFill="1" applyBorder="1"/>
    <xf numFmtId="167" fontId="0" fillId="2" borderId="0" xfId="0" applyNumberFormat="1" applyFill="1" applyBorder="1"/>
    <xf numFmtId="168" fontId="0" fillId="2" borderId="1" xfId="4" applyNumberFormat="1" applyFont="1" applyFill="1" applyBorder="1"/>
    <xf numFmtId="1" fontId="0" fillId="8" borderId="1" xfId="3" applyNumberFormat="1" applyFont="1" applyFill="1" applyBorder="1"/>
    <xf numFmtId="0" fontId="3" fillId="12" borderId="20" xfId="0" applyNumberFormat="1" applyFont="1" applyFill="1" applyBorder="1"/>
    <xf numFmtId="0" fontId="3" fillId="12" borderId="21" xfId="0" applyNumberFormat="1" applyFont="1" applyFill="1" applyBorder="1"/>
    <xf numFmtId="0" fontId="20" fillId="3" borderId="51" xfId="0" applyFont="1" applyFill="1" applyBorder="1"/>
    <xf numFmtId="3" fontId="30" fillId="2" borderId="1" xfId="0" applyNumberFormat="1" applyFont="1" applyFill="1" applyBorder="1"/>
    <xf numFmtId="167" fontId="0" fillId="2" borderId="0" xfId="2" applyNumberFormat="1" applyFont="1" applyFill="1"/>
    <xf numFmtId="0" fontId="2" fillId="12" borderId="31" xfId="0" applyNumberFormat="1" applyFont="1" applyFill="1" applyBorder="1"/>
    <xf numFmtId="0" fontId="2" fillId="12" borderId="52" xfId="0" applyNumberFormat="1" applyFont="1" applyFill="1" applyBorder="1"/>
    <xf numFmtId="0" fontId="3" fillId="17" borderId="30" xfId="0" applyNumberFormat="1" applyFont="1" applyFill="1" applyBorder="1"/>
    <xf numFmtId="0" fontId="3" fillId="17" borderId="31" xfId="0" applyNumberFormat="1" applyFont="1" applyFill="1" applyBorder="1"/>
    <xf numFmtId="0" fontId="3" fillId="17" borderId="52" xfId="0" applyNumberFormat="1" applyFont="1" applyFill="1" applyBorder="1"/>
    <xf numFmtId="168" fontId="0" fillId="2" borderId="1" xfId="0" applyNumberFormat="1" applyFill="1" applyBorder="1"/>
    <xf numFmtId="0" fontId="2" fillId="12" borderId="1" xfId="0" applyNumberFormat="1" applyFont="1" applyFill="1" applyBorder="1"/>
    <xf numFmtId="0" fontId="3" fillId="17" borderId="1" xfId="0" applyNumberFormat="1" applyFont="1" applyFill="1" applyBorder="1"/>
    <xf numFmtId="0" fontId="31" fillId="0" borderId="0" xfId="0" applyFont="1" applyFill="1" applyBorder="1" applyAlignment="1">
      <alignment horizontal="center" vertical="center"/>
    </xf>
    <xf numFmtId="167" fontId="0" fillId="2" borderId="1" xfId="2" applyNumberFormat="1" applyFont="1" applyFill="1" applyBorder="1"/>
    <xf numFmtId="0" fontId="0" fillId="0" borderId="0" xfId="0" applyFill="1"/>
    <xf numFmtId="41" fontId="0" fillId="2" borderId="1" xfId="0" applyNumberFormat="1" applyFill="1" applyBorder="1"/>
    <xf numFmtId="175" fontId="41" fillId="17" borderId="1" xfId="0" applyNumberFormat="1" applyFont="1" applyFill="1" applyBorder="1" applyAlignment="1">
      <alignment horizontal="right" vertical="center" wrapText="1"/>
    </xf>
    <xf numFmtId="10" fontId="43" fillId="2" borderId="28" xfId="2" applyNumberFormat="1" applyFont="1" applyFill="1" applyBorder="1" applyAlignment="1">
      <alignment horizontal="right" vertical="center" wrapText="1"/>
    </xf>
    <xf numFmtId="10" fontId="43" fillId="4" borderId="28" xfId="2" applyNumberFormat="1" applyFont="1" applyFill="1" applyBorder="1" applyAlignment="1">
      <alignment horizontal="right" vertical="center" wrapText="1"/>
    </xf>
    <xf numFmtId="41" fontId="0" fillId="2" borderId="1" xfId="3" applyNumberFormat="1" applyFont="1" applyFill="1" applyBorder="1"/>
    <xf numFmtId="41" fontId="2" fillId="4" borderId="1" xfId="0" applyNumberFormat="1" applyFont="1" applyFill="1" applyBorder="1"/>
    <xf numFmtId="0" fontId="2" fillId="10" borderId="0" xfId="0" applyFont="1" applyFill="1" applyAlignment="1">
      <alignment horizontal="right"/>
    </xf>
    <xf numFmtId="10" fontId="43" fillId="2" borderId="0" xfId="2" applyNumberFormat="1" applyFont="1" applyFill="1" applyBorder="1" applyAlignment="1">
      <alignment horizontal="right" vertical="center" wrapText="1"/>
    </xf>
    <xf numFmtId="175" fontId="41" fillId="17" borderId="26" xfId="0" applyNumberFormat="1" applyFont="1" applyFill="1" applyBorder="1" applyAlignment="1">
      <alignment horizontal="right" vertical="center" wrapText="1"/>
    </xf>
    <xf numFmtId="41" fontId="2" fillId="2" borderId="1" xfId="3" applyNumberFormat="1" applyFont="1" applyFill="1" applyBorder="1"/>
    <xf numFmtId="165" fontId="0" fillId="2" borderId="0" xfId="0" applyNumberFormat="1" applyFill="1"/>
    <xf numFmtId="0" fontId="20" fillId="25" borderId="8" xfId="0" applyFont="1" applyFill="1" applyBorder="1"/>
    <xf numFmtId="0" fontId="0" fillId="25" borderId="15" xfId="0" applyFill="1" applyBorder="1"/>
    <xf numFmtId="0" fontId="0" fillId="25" borderId="10" xfId="0" applyFill="1" applyBorder="1"/>
    <xf numFmtId="0" fontId="34" fillId="2" borderId="16" xfId="0" applyFont="1" applyFill="1" applyBorder="1" applyAlignment="1"/>
    <xf numFmtId="0" fontId="34" fillId="2" borderId="17" xfId="0" applyFont="1" applyFill="1" applyBorder="1" applyAlignment="1"/>
    <xf numFmtId="0" fontId="3" fillId="12" borderId="41" xfId="0" applyNumberFormat="1" applyFont="1" applyFill="1" applyBorder="1"/>
    <xf numFmtId="0" fontId="3" fillId="12" borderId="42" xfId="0" applyNumberFormat="1" applyFont="1" applyFill="1" applyBorder="1"/>
    <xf numFmtId="0" fontId="3" fillId="17" borderId="56" xfId="0" applyNumberFormat="1" applyFont="1" applyFill="1" applyBorder="1"/>
    <xf numFmtId="10" fontId="0" fillId="8" borderId="28" xfId="2" applyNumberFormat="1" applyFont="1" applyFill="1" applyBorder="1"/>
    <xf numFmtId="10" fontId="0" fillId="8" borderId="28" xfId="0" applyNumberFormat="1" applyFill="1" applyBorder="1"/>
    <xf numFmtId="10" fontId="3" fillId="14" borderId="1" xfId="0" applyNumberFormat="1" applyFont="1" applyFill="1" applyBorder="1"/>
    <xf numFmtId="10" fontId="3" fillId="17" borderId="26" xfId="0" applyNumberFormat="1" applyFont="1" applyFill="1" applyBorder="1"/>
    <xf numFmtId="0" fontId="0" fillId="2" borderId="0" xfId="0" applyFont="1" applyFill="1"/>
    <xf numFmtId="0" fontId="3" fillId="17" borderId="1" xfId="0" applyFont="1" applyFill="1" applyBorder="1" applyAlignment="1">
      <alignment horizontal="center" vertical="center"/>
    </xf>
    <xf numFmtId="0" fontId="3" fillId="17" borderId="19" xfId="0" applyFont="1" applyFill="1" applyBorder="1" applyAlignment="1">
      <alignment horizontal="center" vertical="center" wrapText="1"/>
    </xf>
    <xf numFmtId="0" fontId="3" fillId="17" borderId="20" xfId="0" applyFont="1" applyFill="1" applyBorder="1" applyAlignment="1">
      <alignment horizontal="center" vertical="center" wrapText="1"/>
    </xf>
    <xf numFmtId="0" fontId="3" fillId="17" borderId="2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0" fontId="35" fillId="2" borderId="2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9" fillId="2" borderId="1" xfId="0" applyFont="1" applyFill="1" applyBorder="1"/>
    <xf numFmtId="167" fontId="35" fillId="2" borderId="0" xfId="2" applyNumberFormat="1" applyFont="1" applyFill="1" applyBorder="1"/>
    <xf numFmtId="10" fontId="35" fillId="2" borderId="2" xfId="2" applyNumberFormat="1" applyFont="1" applyFill="1" applyBorder="1" applyAlignment="1">
      <alignment horizontal="center"/>
    </xf>
    <xf numFmtId="10" fontId="49" fillId="2" borderId="2" xfId="2" applyNumberFormat="1" applyFont="1" applyFill="1" applyBorder="1" applyAlignment="1">
      <alignment horizontal="center"/>
    </xf>
    <xf numFmtId="167" fontId="49" fillId="2" borderId="1" xfId="0" applyNumberFormat="1" applyFont="1" applyFill="1" applyBorder="1" applyAlignment="1">
      <alignment horizontal="center"/>
    </xf>
    <xf numFmtId="0" fontId="55" fillId="2" borderId="0" xfId="0" applyFont="1" applyFill="1"/>
    <xf numFmtId="2" fontId="2" fillId="2" borderId="1" xfId="0" applyNumberFormat="1" applyFont="1" applyFill="1" applyBorder="1"/>
    <xf numFmtId="0" fontId="31" fillId="2" borderId="0" xfId="0" applyFont="1" applyFill="1" applyBorder="1" applyAlignment="1">
      <alignment vertical="center"/>
    </xf>
    <xf numFmtId="0" fontId="43" fillId="29" borderId="5" xfId="0" quotePrefix="1" applyFont="1" applyFill="1" applyBorder="1" applyAlignment="1">
      <alignment horizontal="right" vertical="center"/>
    </xf>
    <xf numFmtId="175" fontId="43" fillId="2" borderId="0" xfId="0" applyNumberFormat="1" applyFont="1" applyFill="1" applyBorder="1" applyAlignment="1">
      <alignment horizontal="right" vertical="center" wrapText="1"/>
    </xf>
    <xf numFmtId="0" fontId="43" fillId="29" borderId="6" xfId="0" quotePrefix="1" applyFont="1" applyFill="1" applyBorder="1" applyAlignment="1">
      <alignment horizontal="right" vertical="center"/>
    </xf>
    <xf numFmtId="3" fontId="43" fillId="30" borderId="28" xfId="0" applyNumberFormat="1" applyFont="1" applyFill="1" applyBorder="1" applyAlignment="1">
      <alignment horizontal="right" vertical="center" wrapText="1"/>
    </xf>
    <xf numFmtId="0" fontId="42" fillId="29" borderId="6" xfId="0" applyFont="1" applyFill="1" applyBorder="1" applyAlignment="1">
      <alignment vertical="center"/>
    </xf>
    <xf numFmtId="176" fontId="42" fillId="30" borderId="28" xfId="8" applyNumberFormat="1" applyFont="1" applyFill="1" applyBorder="1" applyAlignment="1">
      <alignment vertical="center"/>
    </xf>
    <xf numFmtId="176" fontId="42" fillId="2" borderId="0" xfId="8" applyNumberFormat="1" applyFont="1" applyFill="1" applyBorder="1" applyAlignment="1">
      <alignment vertical="center"/>
    </xf>
    <xf numFmtId="176" fontId="42" fillId="30" borderId="47" xfId="8" applyNumberFormat="1" applyFont="1" applyFill="1" applyBorder="1" applyAlignment="1">
      <alignment vertical="center"/>
    </xf>
    <xf numFmtId="176" fontId="43" fillId="30" borderId="54" xfId="8" applyNumberFormat="1" applyFont="1" applyFill="1" applyBorder="1" applyAlignment="1">
      <alignment vertical="center"/>
    </xf>
    <xf numFmtId="176" fontId="43" fillId="2" borderId="0" xfId="8" applyNumberFormat="1" applyFont="1" applyFill="1" applyBorder="1" applyAlignment="1">
      <alignment vertical="center"/>
    </xf>
    <xf numFmtId="0" fontId="42" fillId="2" borderId="14" xfId="0" applyFont="1" applyFill="1" applyBorder="1" applyAlignment="1">
      <alignment vertical="center"/>
    </xf>
    <xf numFmtId="0" fontId="42" fillId="2" borderId="0" xfId="0" applyFont="1" applyFill="1" applyBorder="1" applyAlignment="1">
      <alignment vertical="center"/>
    </xf>
    <xf numFmtId="176" fontId="43" fillId="30" borderId="28" xfId="8" applyNumberFormat="1" applyFont="1" applyFill="1" applyBorder="1" applyAlignment="1">
      <alignment vertical="center"/>
    </xf>
    <xf numFmtId="176" fontId="42" fillId="30" borderId="1" xfId="8" applyNumberFormat="1" applyFont="1" applyFill="1" applyBorder="1" applyAlignment="1">
      <alignment vertical="center"/>
    </xf>
    <xf numFmtId="0" fontId="43" fillId="29" borderId="6" xfId="0" applyFont="1" applyFill="1" applyBorder="1" applyAlignment="1">
      <alignment horizontal="center" vertical="center"/>
    </xf>
    <xf numFmtId="0" fontId="42" fillId="29" borderId="14" xfId="0" applyFont="1" applyFill="1" applyBorder="1" applyAlignment="1">
      <alignment vertical="center"/>
    </xf>
    <xf numFmtId="0" fontId="43" fillId="29" borderId="14" xfId="0" applyFont="1" applyFill="1" applyBorder="1" applyAlignment="1">
      <alignment horizontal="center" vertical="center"/>
    </xf>
    <xf numFmtId="176" fontId="43" fillId="30" borderId="62" xfId="8" applyNumberFormat="1" applyFont="1" applyFill="1" applyBorder="1" applyAlignment="1">
      <alignment vertical="center"/>
    </xf>
    <xf numFmtId="0" fontId="57" fillId="29" borderId="6" xfId="0" applyFont="1" applyFill="1" applyBorder="1" applyAlignment="1">
      <alignment vertical="center"/>
    </xf>
    <xf numFmtId="0" fontId="57" fillId="2" borderId="14" xfId="0" applyFont="1" applyFill="1" applyBorder="1" applyAlignment="1">
      <alignment vertical="center"/>
    </xf>
    <xf numFmtId="0" fontId="57" fillId="2" borderId="0" xfId="0" applyFont="1" applyFill="1" applyBorder="1" applyAlignment="1">
      <alignment vertical="center"/>
    </xf>
    <xf numFmtId="0" fontId="58" fillId="29" borderId="7" xfId="0" applyFont="1" applyFill="1" applyBorder="1" applyAlignment="1">
      <alignment horizontal="center" vertical="center"/>
    </xf>
    <xf numFmtId="176" fontId="40" fillId="30" borderId="28" xfId="8" applyNumberFormat="1" applyFont="1" applyFill="1" applyBorder="1" applyAlignment="1">
      <alignment vertical="center"/>
    </xf>
    <xf numFmtId="176" fontId="40" fillId="2" borderId="0" xfId="8" applyNumberFormat="1" applyFont="1" applyFill="1" applyBorder="1" applyAlignment="1">
      <alignment vertical="center"/>
    </xf>
    <xf numFmtId="176" fontId="40" fillId="13" borderId="28" xfId="8" applyNumberFormat="1" applyFont="1" applyFill="1" applyBorder="1" applyAlignment="1">
      <alignment vertical="center"/>
    </xf>
    <xf numFmtId="0" fontId="40" fillId="30" borderId="1" xfId="10" quotePrefix="1" applyFont="1" applyFill="1" applyBorder="1" applyAlignment="1">
      <alignment horizontal="center" vertical="center"/>
    </xf>
    <xf numFmtId="176" fontId="61" fillId="30" borderId="1" xfId="8" applyNumberFormat="1" applyFont="1" applyFill="1" applyBorder="1" applyAlignment="1">
      <alignment vertical="center"/>
    </xf>
    <xf numFmtId="177" fontId="61" fillId="30" borderId="1" xfId="0" applyNumberFormat="1" applyFont="1" applyFill="1" applyBorder="1" applyAlignment="1">
      <alignment vertical="center"/>
    </xf>
    <xf numFmtId="0" fontId="40" fillId="30" borderId="1" xfId="10" applyFont="1" applyFill="1" applyBorder="1" applyAlignment="1">
      <alignment horizontal="center" vertical="center"/>
    </xf>
    <xf numFmtId="0" fontId="40" fillId="30" borderId="2" xfId="10" quotePrefix="1" applyFont="1" applyFill="1" applyBorder="1" applyAlignment="1">
      <alignment vertical="center"/>
    </xf>
    <xf numFmtId="0" fontId="61" fillId="30" borderId="28" xfId="0" applyFont="1" applyFill="1" applyBorder="1" applyAlignment="1">
      <alignment vertical="center"/>
    </xf>
    <xf numFmtId="178" fontId="40" fillId="30" borderId="1" xfId="0" applyNumberFormat="1" applyFont="1" applyFill="1" applyBorder="1" applyAlignment="1">
      <alignment vertical="center"/>
    </xf>
    <xf numFmtId="179" fontId="40" fillId="30" borderId="1" xfId="0" applyNumberFormat="1" applyFont="1" applyFill="1" applyBorder="1" applyAlignment="1">
      <alignment vertical="center"/>
    </xf>
    <xf numFmtId="0" fontId="62" fillId="24" borderId="4" xfId="0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vertical="center"/>
    </xf>
    <xf numFmtId="176" fontId="63" fillId="24" borderId="2" xfId="8" applyNumberFormat="1" applyFont="1" applyFill="1" applyBorder="1" applyAlignment="1">
      <alignment vertical="center"/>
    </xf>
    <xf numFmtId="180" fontId="63" fillId="24" borderId="2" xfId="0" applyNumberFormat="1" applyFont="1" applyFill="1" applyBorder="1" applyAlignment="1">
      <alignment vertical="center"/>
    </xf>
    <xf numFmtId="176" fontId="62" fillId="24" borderId="2" xfId="8" applyNumberFormat="1" applyFont="1" applyFill="1" applyBorder="1" applyAlignment="1">
      <alignment vertical="center"/>
    </xf>
    <xf numFmtId="0" fontId="62" fillId="31" borderId="4" xfId="0" applyFont="1" applyFill="1" applyBorder="1" applyAlignment="1">
      <alignment horizontal="center" vertical="center"/>
    </xf>
    <xf numFmtId="176" fontId="63" fillId="31" borderId="2" xfId="8" applyNumberFormat="1" applyFont="1" applyFill="1" applyBorder="1" applyAlignment="1">
      <alignment vertical="center"/>
    </xf>
    <xf numFmtId="179" fontId="63" fillId="31" borderId="2" xfId="0" applyNumberFormat="1" applyFont="1" applyFill="1" applyBorder="1" applyAlignment="1">
      <alignment vertical="center"/>
    </xf>
    <xf numFmtId="176" fontId="62" fillId="31" borderId="2" xfId="8" applyNumberFormat="1" applyFont="1" applyFill="1" applyBorder="1" applyAlignment="1">
      <alignment vertical="center"/>
    </xf>
    <xf numFmtId="175" fontId="41" fillId="17" borderId="2" xfId="0" applyNumberFormat="1" applyFont="1" applyFill="1" applyBorder="1" applyAlignment="1">
      <alignment horizontal="right" vertical="center" wrapText="1"/>
    </xf>
    <xf numFmtId="10" fontId="0" fillId="2" borderId="3" xfId="0" applyNumberFormat="1" applyFill="1" applyBorder="1"/>
    <xf numFmtId="0" fontId="2" fillId="7" borderId="2" xfId="0" applyFont="1" applyFill="1" applyBorder="1" applyAlignment="1"/>
    <xf numFmtId="0" fontId="2" fillId="7" borderId="27" xfId="0" applyFont="1" applyFill="1" applyBorder="1" applyAlignment="1"/>
    <xf numFmtId="0" fontId="2" fillId="7" borderId="28" xfId="0" applyFont="1" applyFill="1" applyBorder="1" applyAlignment="1"/>
    <xf numFmtId="176" fontId="2" fillId="0" borderId="26" xfId="0" applyNumberFormat="1" applyFont="1" applyFill="1" applyBorder="1"/>
    <xf numFmtId="0" fontId="0" fillId="7" borderId="51" xfId="0" applyFill="1" applyBorder="1" applyAlignment="1"/>
    <xf numFmtId="176" fontId="2" fillId="0" borderId="61" xfId="0" applyNumberFormat="1" applyFont="1" applyFill="1" applyBorder="1"/>
    <xf numFmtId="176" fontId="2" fillId="0" borderId="42" xfId="0" applyNumberFormat="1" applyFont="1" applyFill="1" applyBorder="1"/>
    <xf numFmtId="41" fontId="2" fillId="0" borderId="59" xfId="3" applyFont="1" applyFill="1" applyBorder="1"/>
    <xf numFmtId="0" fontId="0" fillId="7" borderId="2" xfId="0" applyFill="1" applyBorder="1" applyAlignment="1"/>
    <xf numFmtId="0" fontId="0" fillId="7" borderId="27" xfId="0" applyFill="1" applyBorder="1" applyAlignment="1"/>
    <xf numFmtId="0" fontId="0" fillId="7" borderId="28" xfId="0" applyFill="1" applyBorder="1" applyAlignment="1"/>
    <xf numFmtId="181" fontId="66" fillId="2" borderId="26" xfId="0" applyNumberFormat="1" applyFont="1" applyFill="1" applyBorder="1" applyAlignment="1">
      <alignment horizontal="center" vertical="center"/>
    </xf>
    <xf numFmtId="181" fontId="66" fillId="2" borderId="1" xfId="0" applyNumberFormat="1" applyFont="1" applyFill="1" applyBorder="1" applyAlignment="1">
      <alignment horizontal="center" vertical="center"/>
    </xf>
    <xf numFmtId="181" fontId="67" fillId="17" borderId="1" xfId="0" applyNumberFormat="1" applyFont="1" applyFill="1" applyBorder="1" applyAlignment="1">
      <alignment horizontal="center"/>
    </xf>
    <xf numFmtId="181" fontId="2" fillId="2" borderId="1" xfId="0" applyNumberFormat="1" applyFont="1" applyFill="1" applyBorder="1"/>
    <xf numFmtId="182" fontId="0" fillId="2" borderId="1" xfId="0" applyNumberFormat="1" applyFont="1" applyFill="1" applyBorder="1"/>
    <xf numFmtId="181" fontId="3" fillId="17" borderId="1" xfId="0" applyNumberFormat="1" applyFont="1" applyFill="1" applyBorder="1"/>
    <xf numFmtId="173" fontId="0" fillId="2" borderId="0" xfId="3" applyNumberFormat="1" applyFont="1" applyFill="1"/>
    <xf numFmtId="181" fontId="0" fillId="2" borderId="0" xfId="0" applyNumberFormat="1" applyFill="1"/>
    <xf numFmtId="41" fontId="0" fillId="2" borderId="1" xfId="3" applyFont="1" applyFill="1" applyBorder="1"/>
    <xf numFmtId="0" fontId="3" fillId="17" borderId="1" xfId="0" applyFont="1" applyFill="1" applyBorder="1"/>
    <xf numFmtId="183" fontId="0" fillId="2" borderId="1" xfId="8" applyNumberFormat="1" applyFont="1" applyFill="1" applyBorder="1"/>
    <xf numFmtId="184" fontId="69" fillId="17" borderId="1" xfId="0" applyNumberFormat="1" applyFont="1" applyFill="1" applyBorder="1" applyAlignment="1">
      <alignment horizontal="right"/>
    </xf>
    <xf numFmtId="41" fontId="1" fillId="2" borderId="1" xfId="3" applyFont="1" applyFill="1" applyBorder="1"/>
    <xf numFmtId="173" fontId="2" fillId="2" borderId="1" xfId="3" applyNumberFormat="1" applyFont="1" applyFill="1" applyBorder="1"/>
    <xf numFmtId="176" fontId="43" fillId="2" borderId="1" xfId="8" applyNumberFormat="1" applyFont="1" applyFill="1" applyBorder="1" applyAlignment="1">
      <alignment vertical="center"/>
    </xf>
    <xf numFmtId="176" fontId="42" fillId="2" borderId="1" xfId="8" applyNumberFormat="1" applyFont="1" applyFill="1" applyBorder="1" applyAlignment="1">
      <alignment vertical="center"/>
    </xf>
    <xf numFmtId="176" fontId="2" fillId="2" borderId="42" xfId="0" applyNumberFormat="1" applyFont="1" applyFill="1" applyBorder="1"/>
    <xf numFmtId="176" fontId="2" fillId="2" borderId="26" xfId="0" applyNumberFormat="1" applyFont="1" applyFill="1" applyBorder="1"/>
    <xf numFmtId="181" fontId="70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/>
    <xf numFmtId="0" fontId="2" fillId="32" borderId="20" xfId="0" applyFont="1" applyFill="1" applyBorder="1" applyAlignment="1">
      <alignment horizontal="center" vertical="center" wrapText="1"/>
    </xf>
    <xf numFmtId="0" fontId="2" fillId="32" borderId="20" xfId="0" applyFont="1" applyFill="1" applyBorder="1" applyAlignment="1">
      <alignment horizontal="center" vertical="center"/>
    </xf>
    <xf numFmtId="0" fontId="2" fillId="32" borderId="21" xfId="0" applyFont="1" applyFill="1" applyBorder="1" applyAlignment="1">
      <alignment horizontal="center" vertical="center" wrapText="1"/>
    </xf>
    <xf numFmtId="0" fontId="72" fillId="17" borderId="1" xfId="0" applyFont="1" applyFill="1" applyBorder="1" applyAlignment="1">
      <alignment horizontal="center" vertical="center" wrapText="1"/>
    </xf>
    <xf numFmtId="41" fontId="0" fillId="2" borderId="38" xfId="0" applyNumberFormat="1" applyFill="1" applyBorder="1"/>
    <xf numFmtId="41" fontId="0" fillId="2" borderId="39" xfId="0" applyNumberFormat="1" applyFill="1" applyBorder="1"/>
    <xf numFmtId="184" fontId="2" fillId="2" borderId="39" xfId="0" applyNumberFormat="1" applyFont="1" applyFill="1" applyBorder="1"/>
    <xf numFmtId="2" fontId="0" fillId="2" borderId="40" xfId="0" applyNumberFormat="1" applyFill="1" applyBorder="1"/>
    <xf numFmtId="181" fontId="0" fillId="2" borderId="1" xfId="0" applyNumberFormat="1" applyFill="1" applyBorder="1"/>
    <xf numFmtId="41" fontId="0" fillId="2" borderId="45" xfId="0" applyNumberFormat="1" applyFill="1" applyBorder="1"/>
    <xf numFmtId="184" fontId="2" fillId="2" borderId="1" xfId="0" applyNumberFormat="1" applyFont="1" applyFill="1" applyBorder="1"/>
    <xf numFmtId="2" fontId="0" fillId="2" borderId="46" xfId="0" applyNumberFormat="1" applyFill="1" applyBorder="1"/>
    <xf numFmtId="181" fontId="0" fillId="2" borderId="45" xfId="0" applyNumberFormat="1" applyFill="1" applyBorder="1"/>
    <xf numFmtId="184" fontId="30" fillId="7" borderId="4" xfId="0" applyNumberFormat="1" applyFont="1" applyFill="1" applyBorder="1"/>
    <xf numFmtId="181" fontId="0" fillId="2" borderId="48" xfId="0" applyNumberFormat="1" applyFill="1" applyBorder="1"/>
    <xf numFmtId="41" fontId="0" fillId="2" borderId="49" xfId="0" applyNumberFormat="1" applyFill="1" applyBorder="1"/>
    <xf numFmtId="184" fontId="2" fillId="2" borderId="49" xfId="0" applyNumberFormat="1" applyFont="1" applyFill="1" applyBorder="1"/>
    <xf numFmtId="2" fontId="0" fillId="2" borderId="50" xfId="0" applyNumberFormat="1" applyFill="1" applyBorder="1"/>
    <xf numFmtId="0" fontId="2" fillId="7" borderId="4" xfId="0" applyFont="1" applyFill="1" applyBorder="1"/>
    <xf numFmtId="43" fontId="0" fillId="2" borderId="0" xfId="0" applyNumberFormat="1" applyFill="1"/>
    <xf numFmtId="184" fontId="2" fillId="2" borderId="23" xfId="0" applyNumberFormat="1" applyFont="1" applyFill="1" applyBorder="1"/>
    <xf numFmtId="184" fontId="2" fillId="2" borderId="24" xfId="0" applyNumberFormat="1" applyFont="1" applyFill="1" applyBorder="1"/>
    <xf numFmtId="184" fontId="2" fillId="2" borderId="25" xfId="0" applyNumberFormat="1" applyFont="1" applyFill="1" applyBorder="1"/>
    <xf numFmtId="0" fontId="3" fillId="14" borderId="1" xfId="0" applyFont="1" applyFill="1" applyBorder="1" applyAlignment="1">
      <alignment horizontal="center" vertical="center"/>
    </xf>
    <xf numFmtId="0" fontId="3" fillId="14" borderId="30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center" vertical="center" wrapText="1"/>
    </xf>
    <xf numFmtId="0" fontId="3" fillId="14" borderId="52" xfId="0" applyFont="1" applyFill="1" applyBorder="1" applyAlignment="1">
      <alignment horizontal="center" vertical="center" wrapText="1"/>
    </xf>
    <xf numFmtId="167" fontId="35" fillId="2" borderId="2" xfId="0" applyNumberFormat="1" applyFont="1" applyFill="1" applyBorder="1" applyAlignment="1">
      <alignment horizontal="center"/>
    </xf>
    <xf numFmtId="0" fontId="35" fillId="2" borderId="0" xfId="0" applyFont="1" applyFill="1" applyBorder="1"/>
    <xf numFmtId="10" fontId="35" fillId="2" borderId="0" xfId="2" applyNumberFormat="1" applyFont="1" applyFill="1" applyBorder="1"/>
    <xf numFmtId="3" fontId="43" fillId="35" borderId="28" xfId="0" applyNumberFormat="1" applyFont="1" applyFill="1" applyBorder="1" applyAlignment="1">
      <alignment horizontal="right" vertical="center" wrapText="1"/>
    </xf>
    <xf numFmtId="176" fontId="42" fillId="35" borderId="28" xfId="8" applyNumberFormat="1" applyFont="1" applyFill="1" applyBorder="1" applyAlignment="1">
      <alignment vertical="center"/>
    </xf>
    <xf numFmtId="176" fontId="42" fillId="35" borderId="47" xfId="8" applyNumberFormat="1" applyFont="1" applyFill="1" applyBorder="1" applyAlignment="1">
      <alignment vertical="center"/>
    </xf>
    <xf numFmtId="176" fontId="43" fillId="35" borderId="54" xfId="8" applyNumberFormat="1" applyFont="1" applyFill="1" applyBorder="1" applyAlignment="1">
      <alignment vertical="center"/>
    </xf>
    <xf numFmtId="176" fontId="43" fillId="35" borderId="28" xfId="8" applyNumberFormat="1" applyFont="1" applyFill="1" applyBorder="1" applyAlignment="1">
      <alignment vertical="center"/>
    </xf>
    <xf numFmtId="176" fontId="42" fillId="35" borderId="1" xfId="8" applyNumberFormat="1" applyFont="1" applyFill="1" applyBorder="1" applyAlignment="1">
      <alignment vertical="center"/>
    </xf>
    <xf numFmtId="176" fontId="43" fillId="35" borderId="62" xfId="8" applyNumberFormat="1" applyFont="1" applyFill="1" applyBorder="1" applyAlignment="1">
      <alignment vertical="center"/>
    </xf>
    <xf numFmtId="176" fontId="40" fillId="35" borderId="28" xfId="8" applyNumberFormat="1" applyFont="1" applyFill="1" applyBorder="1" applyAlignment="1">
      <alignment vertical="center"/>
    </xf>
    <xf numFmtId="43" fontId="0" fillId="2" borderId="0" xfId="4" applyFont="1" applyFill="1"/>
    <xf numFmtId="0" fontId="40" fillId="24" borderId="1" xfId="10" quotePrefix="1" applyFont="1" applyFill="1" applyBorder="1" applyAlignment="1">
      <alignment horizontal="center" vertical="center"/>
    </xf>
    <xf numFmtId="0" fontId="40" fillId="24" borderId="1" xfId="10" applyFont="1" applyFill="1" applyBorder="1" applyAlignment="1">
      <alignment horizontal="center" vertical="center"/>
    </xf>
    <xf numFmtId="0" fontId="40" fillId="24" borderId="2" xfId="10" quotePrefix="1" applyFont="1" applyFill="1" applyBorder="1" applyAlignment="1">
      <alignment vertical="center"/>
    </xf>
    <xf numFmtId="0" fontId="61" fillId="24" borderId="28" xfId="0" applyFont="1" applyFill="1" applyBorder="1" applyAlignment="1">
      <alignment vertical="center"/>
    </xf>
    <xf numFmtId="178" fontId="40" fillId="24" borderId="1" xfId="0" applyNumberFormat="1" applyFont="1" applyFill="1" applyBorder="1" applyAlignment="1">
      <alignment vertical="center"/>
    </xf>
    <xf numFmtId="185" fontId="40" fillId="24" borderId="1" xfId="0" applyNumberFormat="1" applyFont="1" applyFill="1" applyBorder="1" applyAlignment="1">
      <alignment horizontal="left" vertical="center"/>
    </xf>
    <xf numFmtId="0" fontId="0" fillId="7" borderId="61" xfId="0" applyFill="1" applyBorder="1" applyAlignment="1"/>
    <xf numFmtId="0" fontId="0" fillId="7" borderId="59" xfId="0" applyFill="1" applyBorder="1" applyAlignment="1"/>
    <xf numFmtId="0" fontId="0" fillId="7" borderId="60" xfId="0" applyFill="1" applyBorder="1" applyAlignment="1"/>
    <xf numFmtId="176" fontId="0" fillId="2" borderId="0" xfId="0" applyNumberFormat="1" applyFill="1"/>
    <xf numFmtId="181" fontId="67" fillId="14" borderId="1" xfId="0" applyNumberFormat="1" applyFont="1" applyFill="1" applyBorder="1" applyAlignment="1">
      <alignment horizontal="center"/>
    </xf>
    <xf numFmtId="181" fontId="3" fillId="14" borderId="1" xfId="0" applyNumberFormat="1" applyFont="1" applyFill="1" applyBorder="1"/>
    <xf numFmtId="0" fontId="3" fillId="14" borderId="1" xfId="0" applyFont="1" applyFill="1" applyBorder="1"/>
    <xf numFmtId="184" fontId="69" fillId="14" borderId="1" xfId="0" applyNumberFormat="1" applyFont="1" applyFill="1" applyBorder="1" applyAlignment="1">
      <alignment horizontal="right"/>
    </xf>
    <xf numFmtId="0" fontId="3" fillId="14" borderId="26" xfId="0" applyFont="1" applyFill="1" applyBorder="1" applyAlignment="1">
      <alignment horizontal="center" vertical="center" wrapText="1"/>
    </xf>
    <xf numFmtId="0" fontId="3" fillId="14" borderId="26" xfId="0" applyFont="1" applyFill="1" applyBorder="1" applyAlignment="1">
      <alignment horizontal="center" vertical="center"/>
    </xf>
    <xf numFmtId="0" fontId="72" fillId="14" borderId="1" xfId="0" applyFont="1" applyFill="1" applyBorder="1" applyAlignment="1">
      <alignment horizontal="center" vertical="center" wrapText="1"/>
    </xf>
    <xf numFmtId="2" fontId="0" fillId="2" borderId="1" xfId="0" applyNumberFormat="1" applyFill="1" applyBorder="1"/>
    <xf numFmtId="184" fontId="30" fillId="8" borderId="4" xfId="0" applyNumberFormat="1" applyFont="1" applyFill="1" applyBorder="1"/>
    <xf numFmtId="0" fontId="2" fillId="8" borderId="4" xfId="0" applyFont="1" applyFill="1" applyBorder="1"/>
    <xf numFmtId="0" fontId="69" fillId="17" borderId="4" xfId="0" applyFont="1" applyFill="1" applyBorder="1" applyAlignment="1">
      <alignment horizontal="center" vertical="center"/>
    </xf>
    <xf numFmtId="0" fontId="69" fillId="14" borderId="4" xfId="0" applyFont="1" applyFill="1" applyBorder="1" applyAlignment="1">
      <alignment horizontal="center" vertical="center" wrapText="1"/>
    </xf>
    <xf numFmtId="0" fontId="30" fillId="7" borderId="4" xfId="0" applyFont="1" applyFill="1" applyBorder="1" applyAlignment="1">
      <alignment horizontal="center" vertical="center" wrapText="1"/>
    </xf>
    <xf numFmtId="184" fontId="2" fillId="2" borderId="63" xfId="0" applyNumberFormat="1" applyFont="1" applyFill="1" applyBorder="1"/>
    <xf numFmtId="2" fontId="0" fillId="2" borderId="63" xfId="0" applyNumberFormat="1" applyFill="1" applyBorder="1"/>
    <xf numFmtId="41" fontId="0" fillId="2" borderId="63" xfId="0" applyNumberFormat="1" applyFill="1" applyBorder="1"/>
    <xf numFmtId="0" fontId="16" fillId="8" borderId="8" xfId="0" applyFont="1" applyFill="1" applyBorder="1" applyAlignment="1">
      <alignment horizontal="center"/>
    </xf>
    <xf numFmtId="0" fontId="16" fillId="8" borderId="15" xfId="0" applyFont="1" applyFill="1" applyBorder="1" applyAlignment="1">
      <alignment horizontal="center"/>
    </xf>
    <xf numFmtId="0" fontId="16" fillId="8" borderId="10" xfId="0" applyFont="1" applyFill="1" applyBorder="1" applyAlignment="1">
      <alignment horizontal="center"/>
    </xf>
    <xf numFmtId="0" fontId="15" fillId="8" borderId="12" xfId="0" applyFont="1" applyFill="1" applyBorder="1" applyAlignment="1">
      <alignment horizontal="center"/>
    </xf>
    <xf numFmtId="0" fontId="15" fillId="8" borderId="13" xfId="0" applyFont="1" applyFill="1" applyBorder="1" applyAlignment="1">
      <alignment horizontal="center"/>
    </xf>
    <xf numFmtId="0" fontId="15" fillId="8" borderId="1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8" fillId="4" borderId="21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right"/>
    </xf>
    <xf numFmtId="0" fontId="5" fillId="2" borderId="13" xfId="0" applyFont="1" applyFill="1" applyBorder="1" applyAlignment="1">
      <alignment horizontal="right"/>
    </xf>
    <xf numFmtId="0" fontId="5" fillId="2" borderId="11" xfId="0" applyFont="1" applyFill="1" applyBorder="1" applyAlignment="1">
      <alignment horizontal="right"/>
    </xf>
    <xf numFmtId="0" fontId="24" fillId="2" borderId="14" xfId="9" applyFont="1" applyFill="1" applyBorder="1" applyAlignment="1">
      <alignment horizontal="right"/>
    </xf>
    <xf numFmtId="0" fontId="24" fillId="2" borderId="0" xfId="9" applyFont="1" applyFill="1" applyBorder="1" applyAlignment="1">
      <alignment horizontal="right"/>
    </xf>
    <xf numFmtId="0" fontId="24" fillId="2" borderId="9" xfId="9" applyFont="1" applyFill="1" applyBorder="1" applyAlignment="1">
      <alignment horizontal="right"/>
    </xf>
    <xf numFmtId="0" fontId="24" fillId="2" borderId="8" xfId="9" applyFont="1" applyFill="1" applyBorder="1" applyAlignment="1">
      <alignment horizontal="right"/>
    </xf>
    <xf numFmtId="0" fontId="24" fillId="2" borderId="15" xfId="9" applyFont="1" applyFill="1" applyBorder="1" applyAlignment="1">
      <alignment horizontal="right"/>
    </xf>
    <xf numFmtId="0" fontId="24" fillId="2" borderId="10" xfId="9" applyFont="1" applyFill="1" applyBorder="1" applyAlignment="1">
      <alignment horizontal="right"/>
    </xf>
    <xf numFmtId="0" fontId="2" fillId="2" borderId="1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6" fillId="8" borderId="12" xfId="0" applyFont="1" applyFill="1" applyBorder="1" applyAlignment="1">
      <alignment horizontal="center" vertical="center"/>
    </xf>
    <xf numFmtId="0" fontId="26" fillId="8" borderId="13" xfId="0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/>
    </xf>
    <xf numFmtId="0" fontId="26" fillId="8" borderId="9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0" fontId="26" fillId="8" borderId="15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/>
    </xf>
    <xf numFmtId="0" fontId="27" fillId="8" borderId="13" xfId="0" applyFont="1" applyFill="1" applyBorder="1" applyAlignment="1">
      <alignment horizontal="center"/>
    </xf>
    <xf numFmtId="0" fontId="27" fillId="8" borderId="11" xfId="0" applyFont="1" applyFill="1" applyBorder="1" applyAlignment="1">
      <alignment horizontal="center"/>
    </xf>
    <xf numFmtId="0" fontId="28" fillId="8" borderId="14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horizontal="center" vertical="center"/>
    </xf>
    <xf numFmtId="0" fontId="28" fillId="8" borderId="9" xfId="0" applyFont="1" applyFill="1" applyBorder="1" applyAlignment="1">
      <alignment horizontal="center" vertical="center"/>
    </xf>
    <xf numFmtId="0" fontId="28" fillId="8" borderId="8" xfId="0" applyFont="1" applyFill="1" applyBorder="1" applyAlignment="1">
      <alignment horizontal="center" vertical="center"/>
    </xf>
    <xf numFmtId="0" fontId="28" fillId="8" borderId="15" xfId="0" applyFont="1" applyFill="1" applyBorder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23" fillId="2" borderId="8" xfId="0" applyFont="1" applyFill="1" applyBorder="1" applyAlignment="1">
      <alignment horizontal="center"/>
    </xf>
    <xf numFmtId="0" fontId="23" fillId="2" borderId="15" xfId="0" applyFont="1" applyFill="1" applyBorder="1" applyAlignment="1">
      <alignment horizontal="center"/>
    </xf>
    <xf numFmtId="0" fontId="2" fillId="12" borderId="26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27" xfId="0" applyFont="1" applyFill="1" applyBorder="1" applyAlignment="1">
      <alignment horizontal="left"/>
    </xf>
    <xf numFmtId="0" fontId="2" fillId="13" borderId="12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27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left"/>
    </xf>
    <xf numFmtId="0" fontId="20" fillId="15" borderId="16" xfId="0" applyFont="1" applyFill="1" applyBorder="1" applyAlignment="1">
      <alignment horizontal="center" vertical="center" wrapText="1"/>
    </xf>
    <xf numFmtId="0" fontId="20" fillId="15" borderId="18" xfId="0" applyFont="1" applyFill="1" applyBorder="1" applyAlignment="1">
      <alignment horizontal="center" vertical="center" wrapText="1"/>
    </xf>
    <xf numFmtId="0" fontId="30" fillId="8" borderId="2" xfId="0" applyFont="1" applyFill="1" applyBorder="1" applyAlignment="1">
      <alignment horizontal="left"/>
    </xf>
    <xf numFmtId="0" fontId="30" fillId="8" borderId="27" xfId="0" applyFont="1" applyFill="1" applyBorder="1" applyAlignment="1">
      <alignment horizontal="left"/>
    </xf>
    <xf numFmtId="0" fontId="30" fillId="8" borderId="28" xfId="0" applyFont="1" applyFill="1" applyBorder="1" applyAlignment="1">
      <alignment horizontal="left"/>
    </xf>
    <xf numFmtId="0" fontId="29" fillId="2" borderId="12" xfId="0" applyFont="1" applyFill="1" applyBorder="1" applyAlignment="1">
      <alignment horizontal="center"/>
    </xf>
    <xf numFmtId="0" fontId="29" fillId="2" borderId="13" xfId="0" applyFont="1" applyFill="1" applyBorder="1" applyAlignment="1">
      <alignment horizontal="center"/>
    </xf>
    <xf numFmtId="0" fontId="0" fillId="16" borderId="33" xfId="0" applyFill="1" applyBorder="1" applyAlignment="1">
      <alignment horizontal="center"/>
    </xf>
    <xf numFmtId="0" fontId="0" fillId="16" borderId="34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20" fillId="16" borderId="16" xfId="0" applyFont="1" applyFill="1" applyBorder="1" applyAlignment="1">
      <alignment horizontal="center" vertical="center" wrapText="1"/>
    </xf>
    <xf numFmtId="0" fontId="20" fillId="16" borderId="18" xfId="0" applyFont="1" applyFill="1" applyBorder="1" applyAlignment="1">
      <alignment horizontal="center" vertical="center" wrapText="1"/>
    </xf>
    <xf numFmtId="0" fontId="3" fillId="15" borderId="12" xfId="0" applyFont="1" applyFill="1" applyBorder="1" applyAlignment="1">
      <alignment horizontal="center"/>
    </xf>
    <xf numFmtId="0" fontId="3" fillId="15" borderId="13" xfId="0" applyFont="1" applyFill="1" applyBorder="1" applyAlignment="1">
      <alignment horizontal="center"/>
    </xf>
    <xf numFmtId="0" fontId="0" fillId="15" borderId="33" xfId="0" applyFill="1" applyBorder="1" applyAlignment="1">
      <alignment horizontal="center"/>
    </xf>
    <xf numFmtId="0" fontId="0" fillId="15" borderId="34" xfId="0" applyFill="1" applyBorder="1" applyAlignment="1">
      <alignment horizontal="center"/>
    </xf>
    <xf numFmtId="0" fontId="31" fillId="17" borderId="12" xfId="0" applyFont="1" applyFill="1" applyBorder="1" applyAlignment="1">
      <alignment horizontal="center" vertical="center"/>
    </xf>
    <xf numFmtId="0" fontId="31" fillId="17" borderId="13" xfId="0" applyFont="1" applyFill="1" applyBorder="1" applyAlignment="1">
      <alignment horizontal="center" vertical="center"/>
    </xf>
    <xf numFmtId="0" fontId="31" fillId="17" borderId="11" xfId="0" applyFont="1" applyFill="1" applyBorder="1" applyAlignment="1">
      <alignment horizontal="center" vertical="center"/>
    </xf>
    <xf numFmtId="0" fontId="31" fillId="17" borderId="8" xfId="0" applyFont="1" applyFill="1" applyBorder="1" applyAlignment="1">
      <alignment horizontal="center" vertical="center"/>
    </xf>
    <xf numFmtId="0" fontId="31" fillId="17" borderId="15" xfId="0" applyFont="1" applyFill="1" applyBorder="1" applyAlignment="1">
      <alignment horizontal="center" vertical="center"/>
    </xf>
    <xf numFmtId="0" fontId="31" fillId="17" borderId="10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left"/>
    </xf>
    <xf numFmtId="0" fontId="2" fillId="2" borderId="39" xfId="0" applyFont="1" applyFill="1" applyBorder="1" applyAlignment="1">
      <alignment horizontal="left"/>
    </xf>
    <xf numFmtId="0" fontId="2" fillId="2" borderId="40" xfId="0" applyFont="1" applyFill="1" applyBorder="1" applyAlignment="1">
      <alignment horizontal="left"/>
    </xf>
    <xf numFmtId="0" fontId="32" fillId="2" borderId="19" xfId="0" applyFont="1" applyFill="1" applyBorder="1" applyAlignment="1">
      <alignment horizontal="center"/>
    </xf>
    <xf numFmtId="0" fontId="32" fillId="2" borderId="20" xfId="0" applyFont="1" applyFill="1" applyBorder="1" applyAlignment="1">
      <alignment horizontal="center"/>
    </xf>
    <xf numFmtId="0" fontId="32" fillId="2" borderId="2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23" fillId="2" borderId="10" xfId="0" applyFont="1" applyFill="1" applyBorder="1" applyAlignment="1">
      <alignment horizontal="center"/>
    </xf>
    <xf numFmtId="0" fontId="33" fillId="17" borderId="16" xfId="0" applyFont="1" applyFill="1" applyBorder="1" applyAlignment="1">
      <alignment horizontal="center"/>
    </xf>
    <xf numFmtId="0" fontId="33" fillId="17" borderId="17" xfId="0" applyFont="1" applyFill="1" applyBorder="1" applyAlignment="1">
      <alignment horizontal="center"/>
    </xf>
    <xf numFmtId="0" fontId="33" fillId="17" borderId="18" xfId="0" applyFont="1" applyFill="1" applyBorder="1" applyAlignment="1">
      <alignment horizontal="center"/>
    </xf>
    <xf numFmtId="0" fontId="32" fillId="2" borderId="12" xfId="0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/>
    </xf>
    <xf numFmtId="0" fontId="32" fillId="2" borderId="16" xfId="0" applyFont="1" applyFill="1" applyBorder="1" applyAlignment="1">
      <alignment horizontal="center"/>
    </xf>
    <xf numFmtId="0" fontId="32" fillId="2" borderId="17" xfId="0" applyFont="1" applyFill="1" applyBorder="1" applyAlignment="1">
      <alignment horizontal="center"/>
    </xf>
    <xf numFmtId="0" fontId="32" fillId="2" borderId="18" xfId="0" applyFont="1" applyFill="1" applyBorder="1" applyAlignment="1">
      <alignment horizontal="center"/>
    </xf>
    <xf numFmtId="0" fontId="0" fillId="2" borderId="45" xfId="0" applyFill="1" applyBorder="1" applyAlignment="1">
      <alignment horizontal="left"/>
    </xf>
    <xf numFmtId="0" fontId="0" fillId="2" borderId="46" xfId="0" applyFill="1" applyBorder="1" applyAlignment="1">
      <alignment horizontal="left"/>
    </xf>
    <xf numFmtId="0" fontId="2" fillId="2" borderId="45" xfId="0" applyFont="1" applyFill="1" applyBorder="1" applyAlignment="1">
      <alignment horizontal="left"/>
    </xf>
    <xf numFmtId="0" fontId="2" fillId="2" borderId="46" xfId="0" applyFont="1" applyFill="1" applyBorder="1" applyAlignment="1">
      <alignment horizontal="left"/>
    </xf>
    <xf numFmtId="0" fontId="2" fillId="21" borderId="49" xfId="0" applyFont="1" applyFill="1" applyBorder="1" applyAlignment="1">
      <alignment horizontal="center"/>
    </xf>
    <xf numFmtId="0" fontId="2" fillId="21" borderId="50" xfId="0" applyFont="1" applyFill="1" applyBorder="1" applyAlignment="1">
      <alignment horizontal="center"/>
    </xf>
    <xf numFmtId="10" fontId="2" fillId="22" borderId="48" xfId="2" applyNumberFormat="1" applyFont="1" applyFill="1" applyBorder="1" applyAlignment="1">
      <alignment horizontal="center"/>
    </xf>
    <xf numFmtId="10" fontId="2" fillId="22" borderId="49" xfId="2" applyNumberFormat="1" applyFont="1" applyFill="1" applyBorder="1" applyAlignment="1">
      <alignment horizontal="center"/>
    </xf>
    <xf numFmtId="10" fontId="2" fillId="22" borderId="50" xfId="2" applyNumberFormat="1" applyFont="1" applyFill="1" applyBorder="1" applyAlignment="1">
      <alignment horizontal="center"/>
    </xf>
    <xf numFmtId="0" fontId="15" fillId="17" borderId="16" xfId="0" applyFont="1" applyFill="1" applyBorder="1" applyAlignment="1">
      <alignment horizontal="center"/>
    </xf>
    <xf numFmtId="0" fontId="15" fillId="17" borderId="17" xfId="0" applyFont="1" applyFill="1" applyBorder="1" applyAlignment="1">
      <alignment horizontal="center"/>
    </xf>
    <xf numFmtId="0" fontId="15" fillId="17" borderId="18" xfId="0" applyFont="1" applyFill="1" applyBorder="1" applyAlignment="1">
      <alignment horizontal="center"/>
    </xf>
    <xf numFmtId="0" fontId="36" fillId="2" borderId="48" xfId="0" applyFont="1" applyFill="1" applyBorder="1" applyAlignment="1">
      <alignment horizontal="left"/>
    </xf>
    <xf numFmtId="0" fontId="36" fillId="2" borderId="49" xfId="0" applyFont="1" applyFill="1" applyBorder="1" applyAlignment="1">
      <alignment horizontal="left"/>
    </xf>
    <xf numFmtId="0" fontId="36" fillId="2" borderId="50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0" fontId="38" fillId="2" borderId="0" xfId="0" applyFont="1" applyFill="1" applyBorder="1" applyAlignment="1">
      <alignment horizontal="left"/>
    </xf>
    <xf numFmtId="0" fontId="2" fillId="12" borderId="19" xfId="0" applyFont="1" applyFill="1" applyBorder="1" applyAlignment="1">
      <alignment horizontal="left"/>
    </xf>
    <xf numFmtId="0" fontId="2" fillId="12" borderId="20" xfId="0" applyFont="1" applyFill="1" applyBorder="1" applyAlignment="1">
      <alignment horizontal="left"/>
    </xf>
    <xf numFmtId="0" fontId="3" fillId="3" borderId="29" xfId="0" applyFont="1" applyFill="1" applyBorder="1" applyAlignment="1">
      <alignment horizontal="left"/>
    </xf>
    <xf numFmtId="0" fontId="3" fillId="3" borderId="51" xfId="0" applyFont="1" applyFill="1" applyBorder="1" applyAlignment="1">
      <alignment horizontal="left"/>
    </xf>
    <xf numFmtId="0" fontId="0" fillId="17" borderId="12" xfId="0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31" fillId="17" borderId="14" xfId="0" applyFont="1" applyFill="1" applyBorder="1" applyAlignment="1">
      <alignment horizontal="center" vertical="center"/>
    </xf>
    <xf numFmtId="0" fontId="31" fillId="17" borderId="0" xfId="0" applyFont="1" applyFill="1" applyBorder="1" applyAlignment="1">
      <alignment horizontal="center" vertical="center"/>
    </xf>
    <xf numFmtId="0" fontId="31" fillId="17" borderId="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/>
    </xf>
    <xf numFmtId="0" fontId="33" fillId="17" borderId="12" xfId="0" applyFont="1" applyFill="1" applyBorder="1" applyAlignment="1">
      <alignment horizontal="center" vertical="center"/>
    </xf>
    <xf numFmtId="0" fontId="33" fillId="17" borderId="13" xfId="0" applyFont="1" applyFill="1" applyBorder="1" applyAlignment="1">
      <alignment horizontal="center" vertical="center"/>
    </xf>
    <xf numFmtId="0" fontId="33" fillId="17" borderId="11" xfId="0" applyFont="1" applyFill="1" applyBorder="1" applyAlignment="1">
      <alignment horizontal="center" vertical="center"/>
    </xf>
    <xf numFmtId="0" fontId="33" fillId="17" borderId="8" xfId="0" applyFont="1" applyFill="1" applyBorder="1" applyAlignment="1">
      <alignment horizontal="center" vertical="center"/>
    </xf>
    <xf numFmtId="0" fontId="33" fillId="17" borderId="15" xfId="0" applyFont="1" applyFill="1" applyBorder="1" applyAlignment="1">
      <alignment horizontal="center" vertical="center"/>
    </xf>
    <xf numFmtId="0" fontId="33" fillId="17" borderId="10" xfId="0" applyFont="1" applyFill="1" applyBorder="1" applyAlignment="1">
      <alignment horizontal="center" vertical="center"/>
    </xf>
    <xf numFmtId="0" fontId="42" fillId="24" borderId="1" xfId="0" quotePrefix="1" applyFont="1" applyFill="1" applyBorder="1" applyAlignment="1">
      <alignment horizontal="left" vertical="center"/>
    </xf>
    <xf numFmtId="0" fontId="39" fillId="7" borderId="16" xfId="0" applyFont="1" applyFill="1" applyBorder="1" applyAlignment="1">
      <alignment horizontal="center"/>
    </xf>
    <xf numFmtId="0" fontId="39" fillId="7" borderId="17" xfId="0" applyFont="1" applyFill="1" applyBorder="1" applyAlignment="1">
      <alignment horizontal="center"/>
    </xf>
    <xf numFmtId="0" fontId="39" fillId="7" borderId="18" xfId="0" applyFont="1" applyFill="1" applyBorder="1" applyAlignment="1">
      <alignment horizontal="center"/>
    </xf>
    <xf numFmtId="0" fontId="40" fillId="23" borderId="53" xfId="0" applyFont="1" applyFill="1" applyBorder="1" applyAlignment="1">
      <alignment horizontal="center" vertical="center"/>
    </xf>
    <xf numFmtId="0" fontId="40" fillId="23" borderId="51" xfId="0" applyFont="1" applyFill="1" applyBorder="1" applyAlignment="1">
      <alignment horizontal="center" vertical="center"/>
    </xf>
    <xf numFmtId="0" fontId="40" fillId="23" borderId="54" xfId="0" applyFont="1" applyFill="1" applyBorder="1" applyAlignment="1">
      <alignment horizontal="center" vertical="center"/>
    </xf>
    <xf numFmtId="0" fontId="40" fillId="23" borderId="55" xfId="0" applyFont="1" applyFill="1" applyBorder="1" applyAlignment="1">
      <alignment horizontal="center" vertical="center"/>
    </xf>
    <xf numFmtId="0" fontId="40" fillId="23" borderId="27" xfId="0" applyFont="1" applyFill="1" applyBorder="1" applyAlignment="1">
      <alignment horizontal="center" vertical="center"/>
    </xf>
    <xf numFmtId="0" fontId="40" fillId="23" borderId="28" xfId="0" applyFont="1" applyFill="1" applyBorder="1" applyAlignment="1">
      <alignment horizontal="center" vertical="center"/>
    </xf>
    <xf numFmtId="0" fontId="44" fillId="14" borderId="12" xfId="0" applyFont="1" applyFill="1" applyBorder="1" applyAlignment="1">
      <alignment horizontal="center" vertical="center"/>
    </xf>
    <xf numFmtId="0" fontId="44" fillId="14" borderId="13" xfId="0" applyFont="1" applyFill="1" applyBorder="1" applyAlignment="1">
      <alignment horizontal="center" vertical="center"/>
    </xf>
    <xf numFmtId="0" fontId="44" fillId="14" borderId="11" xfId="0" applyFont="1" applyFill="1" applyBorder="1" applyAlignment="1">
      <alignment horizontal="center" vertical="center"/>
    </xf>
    <xf numFmtId="0" fontId="44" fillId="14" borderId="14" xfId="0" applyFont="1" applyFill="1" applyBorder="1" applyAlignment="1">
      <alignment horizontal="center" vertical="center"/>
    </xf>
    <xf numFmtId="0" fontId="44" fillId="14" borderId="0" xfId="0" applyFont="1" applyFill="1" applyBorder="1" applyAlignment="1">
      <alignment horizontal="center" vertical="center"/>
    </xf>
    <xf numFmtId="0" fontId="44" fillId="14" borderId="9" xfId="0" applyFont="1" applyFill="1" applyBorder="1" applyAlignment="1">
      <alignment horizontal="center" vertical="center"/>
    </xf>
    <xf numFmtId="0" fontId="31" fillId="14" borderId="12" xfId="0" applyFont="1" applyFill="1" applyBorder="1" applyAlignment="1">
      <alignment horizontal="center" vertical="center"/>
    </xf>
    <xf numFmtId="0" fontId="31" fillId="14" borderId="13" xfId="0" applyFont="1" applyFill="1" applyBorder="1" applyAlignment="1">
      <alignment horizontal="center" vertical="center"/>
    </xf>
    <xf numFmtId="0" fontId="31" fillId="14" borderId="11" xfId="0" applyFont="1" applyFill="1" applyBorder="1" applyAlignment="1">
      <alignment horizontal="center" vertical="center"/>
    </xf>
    <xf numFmtId="0" fontId="31" fillId="14" borderId="8" xfId="0" applyFont="1" applyFill="1" applyBorder="1" applyAlignment="1">
      <alignment horizontal="center" vertical="center"/>
    </xf>
    <xf numFmtId="0" fontId="31" fillId="14" borderId="15" xfId="0" applyFont="1" applyFill="1" applyBorder="1" applyAlignment="1">
      <alignment horizontal="center" vertical="center"/>
    </xf>
    <xf numFmtId="0" fontId="31" fillId="14" borderId="10" xfId="0" applyFont="1" applyFill="1" applyBorder="1" applyAlignment="1">
      <alignment horizontal="center" vertical="center"/>
    </xf>
    <xf numFmtId="0" fontId="33" fillId="14" borderId="16" xfId="0" applyFont="1" applyFill="1" applyBorder="1" applyAlignment="1">
      <alignment horizontal="center"/>
    </xf>
    <xf numFmtId="0" fontId="33" fillId="14" borderId="17" xfId="0" applyFont="1" applyFill="1" applyBorder="1" applyAlignment="1">
      <alignment horizontal="center"/>
    </xf>
    <xf numFmtId="0" fontId="33" fillId="14" borderId="18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0" fontId="0" fillId="2" borderId="57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58" xfId="0" applyFill="1" applyBorder="1" applyAlignment="1">
      <alignment horizontal="left"/>
    </xf>
    <xf numFmtId="10" fontId="2" fillId="2" borderId="12" xfId="2" applyNumberFormat="1" applyFont="1" applyFill="1" applyBorder="1" applyAlignment="1">
      <alignment horizontal="center" vertical="center"/>
    </xf>
    <xf numFmtId="10" fontId="2" fillId="2" borderId="13" xfId="2" applyNumberFormat="1" applyFont="1" applyFill="1" applyBorder="1" applyAlignment="1">
      <alignment horizontal="center" vertical="center"/>
    </xf>
    <xf numFmtId="10" fontId="2" fillId="2" borderId="11" xfId="2" applyNumberFormat="1" applyFont="1" applyFill="1" applyBorder="1" applyAlignment="1">
      <alignment horizontal="center" vertical="center"/>
    </xf>
    <xf numFmtId="10" fontId="2" fillId="2" borderId="14" xfId="2" applyNumberFormat="1" applyFont="1" applyFill="1" applyBorder="1" applyAlignment="1">
      <alignment horizontal="center" vertical="center"/>
    </xf>
    <xf numFmtId="10" fontId="2" fillId="2" borderId="0" xfId="2" applyNumberFormat="1" applyFont="1" applyFill="1" applyBorder="1" applyAlignment="1">
      <alignment horizontal="center" vertical="center"/>
    </xf>
    <xf numFmtId="10" fontId="2" fillId="2" borderId="9" xfId="2" applyNumberFormat="1" applyFont="1" applyFill="1" applyBorder="1" applyAlignment="1">
      <alignment horizontal="center" vertical="center"/>
    </xf>
    <xf numFmtId="10" fontId="2" fillId="2" borderId="8" xfId="2" applyNumberFormat="1" applyFont="1" applyFill="1" applyBorder="1" applyAlignment="1">
      <alignment horizontal="center" vertical="center"/>
    </xf>
    <xf numFmtId="10" fontId="2" fillId="2" borderId="15" xfId="2" applyNumberFormat="1" applyFont="1" applyFill="1" applyBorder="1" applyAlignment="1">
      <alignment horizontal="center" vertical="center"/>
    </xf>
    <xf numFmtId="10" fontId="2" fillId="2" borderId="10" xfId="2" applyNumberFormat="1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left"/>
    </xf>
    <xf numFmtId="0" fontId="2" fillId="2" borderId="49" xfId="0" applyFont="1" applyFill="1" applyBorder="1" applyAlignment="1">
      <alignment horizontal="left"/>
    </xf>
    <xf numFmtId="0" fontId="2" fillId="2" borderId="50" xfId="0" applyFont="1" applyFill="1" applyBorder="1" applyAlignment="1">
      <alignment horizontal="left"/>
    </xf>
    <xf numFmtId="0" fontId="0" fillId="2" borderId="56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3" fillId="14" borderId="1" xfId="0" applyFont="1" applyFill="1" applyBorder="1" applyAlignment="1">
      <alignment horizontal="center"/>
    </xf>
    <xf numFmtId="10" fontId="3" fillId="17" borderId="1" xfId="2" applyNumberFormat="1" applyFont="1" applyFill="1" applyBorder="1" applyAlignment="1">
      <alignment horizontal="center"/>
    </xf>
    <xf numFmtId="10" fontId="3" fillId="17" borderId="2" xfId="2" applyNumberFormat="1" applyFont="1" applyFill="1" applyBorder="1" applyAlignment="1">
      <alignment horizontal="center"/>
    </xf>
    <xf numFmtId="0" fontId="15" fillId="14" borderId="16" xfId="0" applyFont="1" applyFill="1" applyBorder="1" applyAlignment="1">
      <alignment horizontal="center"/>
    </xf>
    <xf numFmtId="0" fontId="15" fillId="14" borderId="17" xfId="0" applyFont="1" applyFill="1" applyBorder="1" applyAlignment="1">
      <alignment horizontal="center"/>
    </xf>
    <xf numFmtId="0" fontId="15" fillId="14" borderId="18" xfId="0" applyFont="1" applyFill="1" applyBorder="1" applyAlignment="1">
      <alignment horizontal="center"/>
    </xf>
    <xf numFmtId="0" fontId="15" fillId="17" borderId="12" xfId="0" applyFont="1" applyFill="1" applyBorder="1" applyAlignment="1">
      <alignment horizontal="center"/>
    </xf>
    <xf numFmtId="0" fontId="15" fillId="17" borderId="13" xfId="0" applyFont="1" applyFill="1" applyBorder="1" applyAlignment="1">
      <alignment horizontal="center"/>
    </xf>
    <xf numFmtId="0" fontId="15" fillId="17" borderId="11" xfId="0" applyFont="1" applyFill="1" applyBorder="1" applyAlignment="1">
      <alignment horizontal="center"/>
    </xf>
    <xf numFmtId="0" fontId="45" fillId="2" borderId="14" xfId="0" applyFont="1" applyFill="1" applyBorder="1" applyAlignment="1">
      <alignment horizontal="center"/>
    </xf>
    <xf numFmtId="0" fontId="45" fillId="2" borderId="0" xfId="0" applyFont="1" applyFill="1" applyBorder="1" applyAlignment="1">
      <alignment horizontal="center"/>
    </xf>
    <xf numFmtId="0" fontId="45" fillId="2" borderId="9" xfId="0" applyFont="1" applyFill="1" applyBorder="1" applyAlignment="1">
      <alignment horizontal="center"/>
    </xf>
    <xf numFmtId="0" fontId="15" fillId="17" borderId="29" xfId="0" applyFont="1" applyFill="1" applyBorder="1" applyAlignment="1">
      <alignment horizontal="left" vertical="center"/>
    </xf>
    <xf numFmtId="0" fontId="15" fillId="17" borderId="51" xfId="0" applyFont="1" applyFill="1" applyBorder="1" applyAlignment="1">
      <alignment horizontal="left" vertical="center"/>
    </xf>
    <xf numFmtId="0" fontId="15" fillId="17" borderId="54" xfId="0" applyFont="1" applyFill="1" applyBorder="1" applyAlignment="1">
      <alignment horizontal="left" vertical="center"/>
    </xf>
    <xf numFmtId="0" fontId="35" fillId="26" borderId="1" xfId="0" quotePrefix="1" applyFont="1" applyFill="1" applyBorder="1" applyAlignment="1">
      <alignment horizontal="left"/>
    </xf>
    <xf numFmtId="0" fontId="2" fillId="26" borderId="1" xfId="0" applyFont="1" applyFill="1" applyBorder="1" applyAlignment="1">
      <alignment horizontal="center" vertical="center"/>
    </xf>
    <xf numFmtId="0" fontId="35" fillId="26" borderId="1" xfId="0" applyFont="1" applyFill="1" applyBorder="1" applyAlignment="1">
      <alignment horizontal="left"/>
    </xf>
    <xf numFmtId="0" fontId="35" fillId="2" borderId="1" xfId="0" quotePrefix="1" applyFont="1" applyFill="1" applyBorder="1" applyAlignment="1">
      <alignment horizontal="left"/>
    </xf>
    <xf numFmtId="0" fontId="0" fillId="27" borderId="1" xfId="0" applyFill="1" applyBorder="1" applyAlignment="1">
      <alignment horizontal="left"/>
    </xf>
    <xf numFmtId="0" fontId="35" fillId="27" borderId="1" xfId="0" quotePrefix="1" applyFont="1" applyFill="1" applyBorder="1" applyAlignment="1">
      <alignment horizontal="left"/>
    </xf>
    <xf numFmtId="0" fontId="35" fillId="27" borderId="1" xfId="0" applyFont="1" applyFill="1" applyBorder="1" applyAlignment="1">
      <alignment horizontal="left"/>
    </xf>
    <xf numFmtId="0" fontId="2" fillId="27" borderId="1" xfId="0" applyFont="1" applyFill="1" applyBorder="1" applyAlignment="1">
      <alignment horizontal="center" vertical="center"/>
    </xf>
    <xf numFmtId="0" fontId="49" fillId="27" borderId="2" xfId="0" quotePrefix="1" applyFont="1" applyFill="1" applyBorder="1" applyAlignment="1">
      <alignment horizontal="center"/>
    </xf>
    <xf numFmtId="0" fontId="49" fillId="27" borderId="27" xfId="0" quotePrefix="1" applyFont="1" applyFill="1" applyBorder="1" applyAlignment="1">
      <alignment horizontal="center"/>
    </xf>
    <xf numFmtId="0" fontId="49" fillId="27" borderId="28" xfId="0" quotePrefix="1" applyFont="1" applyFill="1" applyBorder="1" applyAlignment="1">
      <alignment horizontal="center"/>
    </xf>
    <xf numFmtId="0" fontId="35" fillId="28" borderId="1" xfId="0" quotePrefix="1" applyFont="1" applyFill="1" applyBorder="1" applyAlignment="1">
      <alignment horizontal="left" vertical="center"/>
    </xf>
    <xf numFmtId="0" fontId="2" fillId="28" borderId="1" xfId="0" applyFont="1" applyFill="1" applyBorder="1" applyAlignment="1">
      <alignment horizontal="center" vertical="center"/>
    </xf>
    <xf numFmtId="0" fontId="35" fillId="28" borderId="1" xfId="0" applyFont="1" applyFill="1" applyBorder="1" applyAlignment="1">
      <alignment horizontal="left"/>
    </xf>
    <xf numFmtId="0" fontId="35" fillId="28" borderId="1" xfId="0" quotePrefix="1" applyFont="1" applyFill="1" applyBorder="1" applyAlignment="1">
      <alignment horizontal="left"/>
    </xf>
    <xf numFmtId="0" fontId="2" fillId="27" borderId="1" xfId="0" applyFont="1" applyFill="1" applyBorder="1" applyAlignment="1">
      <alignment horizontal="left"/>
    </xf>
    <xf numFmtId="0" fontId="43" fillId="17" borderId="55" xfId="0" applyFont="1" applyFill="1" applyBorder="1" applyAlignment="1">
      <alignment horizontal="center" vertical="center"/>
    </xf>
    <xf numFmtId="0" fontId="43" fillId="17" borderId="27" xfId="0" applyFont="1" applyFill="1" applyBorder="1" applyAlignment="1">
      <alignment horizontal="center" vertical="center"/>
    </xf>
    <xf numFmtId="0" fontId="43" fillId="17" borderId="28" xfId="0" applyFont="1" applyFill="1" applyBorder="1" applyAlignment="1">
      <alignment horizontal="center" vertical="center"/>
    </xf>
    <xf numFmtId="0" fontId="42" fillId="30" borderId="14" xfId="0" quotePrefix="1" applyFont="1" applyFill="1" applyBorder="1" applyAlignment="1">
      <alignment horizontal="left" vertical="center"/>
    </xf>
    <xf numFmtId="0" fontId="42" fillId="30" borderId="0" xfId="0" quotePrefix="1" applyFont="1" applyFill="1" applyBorder="1" applyAlignment="1">
      <alignment horizontal="left" vertical="center"/>
    </xf>
    <xf numFmtId="0" fontId="42" fillId="30" borderId="41" xfId="0" quotePrefix="1" applyFont="1" applyFill="1" applyBorder="1" applyAlignment="1">
      <alignment horizontal="left" vertical="center"/>
    </xf>
    <xf numFmtId="0" fontId="0" fillId="27" borderId="2" xfId="0" applyFill="1" applyBorder="1" applyAlignment="1">
      <alignment horizontal="left"/>
    </xf>
    <xf numFmtId="0" fontId="0" fillId="27" borderId="27" xfId="0" applyFill="1" applyBorder="1" applyAlignment="1">
      <alignment horizontal="left"/>
    </xf>
    <xf numFmtId="0" fontId="0" fillId="27" borderId="28" xfId="0" applyFill="1" applyBorder="1" applyAlignment="1">
      <alignment horizontal="left"/>
    </xf>
    <xf numFmtId="0" fontId="2" fillId="27" borderId="2" xfId="0" applyFont="1" applyFill="1" applyBorder="1" applyAlignment="1">
      <alignment horizontal="left"/>
    </xf>
    <xf numFmtId="0" fontId="2" fillId="27" borderId="27" xfId="0" applyFont="1" applyFill="1" applyBorder="1" applyAlignment="1">
      <alignment horizontal="left"/>
    </xf>
    <xf numFmtId="0" fontId="2" fillId="27" borderId="28" xfId="0" applyFont="1" applyFill="1" applyBorder="1" applyAlignment="1">
      <alignment horizontal="left"/>
    </xf>
    <xf numFmtId="0" fontId="43" fillId="30" borderId="53" xfId="0" quotePrefix="1" applyFont="1" applyFill="1" applyBorder="1" applyAlignment="1">
      <alignment horizontal="left" vertical="center"/>
    </xf>
    <xf numFmtId="0" fontId="43" fillId="30" borderId="51" xfId="0" quotePrefix="1" applyFont="1" applyFill="1" applyBorder="1" applyAlignment="1">
      <alignment horizontal="left" vertical="center"/>
    </xf>
    <xf numFmtId="0" fontId="43" fillId="30" borderId="54" xfId="0" quotePrefix="1" applyFont="1" applyFill="1" applyBorder="1" applyAlignment="1">
      <alignment horizontal="left" vertical="center"/>
    </xf>
    <xf numFmtId="0" fontId="42" fillId="30" borderId="61" xfId="0" quotePrefix="1" applyFont="1" applyFill="1" applyBorder="1" applyAlignment="1">
      <alignment horizontal="left" vertical="center"/>
    </xf>
    <xf numFmtId="0" fontId="42" fillId="30" borderId="59" xfId="0" quotePrefix="1" applyFont="1" applyFill="1" applyBorder="1" applyAlignment="1">
      <alignment horizontal="left" vertical="center"/>
    </xf>
    <xf numFmtId="0" fontId="42" fillId="30" borderId="60" xfId="0" quotePrefix="1" applyFont="1" applyFill="1" applyBorder="1" applyAlignment="1">
      <alignment horizontal="left" vertical="center"/>
    </xf>
    <xf numFmtId="0" fontId="42" fillId="30" borderId="56" xfId="0" quotePrefix="1" applyFont="1" applyFill="1" applyBorder="1" applyAlignment="1">
      <alignment horizontal="left" vertical="center"/>
    </xf>
    <xf numFmtId="0" fontId="43" fillId="30" borderId="29" xfId="0" quotePrefix="1" applyFont="1" applyFill="1" applyBorder="1" applyAlignment="1">
      <alignment horizontal="left" vertical="center"/>
    </xf>
    <xf numFmtId="0" fontId="40" fillId="30" borderId="55" xfId="0" quotePrefix="1" applyFont="1" applyFill="1" applyBorder="1" applyAlignment="1">
      <alignment horizontal="left" vertical="center"/>
    </xf>
    <xf numFmtId="0" fontId="40" fillId="30" borderId="27" xfId="0" quotePrefix="1" applyFont="1" applyFill="1" applyBorder="1" applyAlignment="1">
      <alignment horizontal="left" vertical="center"/>
    </xf>
    <xf numFmtId="0" fontId="40" fillId="30" borderId="28" xfId="0" quotePrefix="1" applyFont="1" applyFill="1" applyBorder="1" applyAlignment="1">
      <alignment horizontal="left" vertical="center"/>
    </xf>
    <xf numFmtId="0" fontId="40" fillId="13" borderId="55" xfId="0" quotePrefix="1" applyFont="1" applyFill="1" applyBorder="1" applyAlignment="1">
      <alignment horizontal="right" vertical="center"/>
    </xf>
    <xf numFmtId="0" fontId="40" fillId="13" borderId="27" xfId="0" quotePrefix="1" applyFont="1" applyFill="1" applyBorder="1" applyAlignment="1">
      <alignment horizontal="right" vertical="center"/>
    </xf>
    <xf numFmtId="0" fontId="40" fillId="13" borderId="28" xfId="0" quotePrefix="1" applyFont="1" applyFill="1" applyBorder="1" applyAlignment="1">
      <alignment horizontal="right" vertical="center"/>
    </xf>
    <xf numFmtId="0" fontId="43" fillId="30" borderId="53" xfId="0" quotePrefix="1" applyFont="1" applyFill="1" applyBorder="1" applyAlignment="1">
      <alignment horizontal="left" vertical="center" wrapText="1"/>
    </xf>
    <xf numFmtId="0" fontId="43" fillId="30" borderId="51" xfId="0" quotePrefix="1" applyFont="1" applyFill="1" applyBorder="1" applyAlignment="1">
      <alignment horizontal="left" vertical="center" wrapText="1"/>
    </xf>
    <xf numFmtId="0" fontId="43" fillId="30" borderId="54" xfId="0" quotePrefix="1" applyFont="1" applyFill="1" applyBorder="1" applyAlignment="1">
      <alignment horizontal="left" vertical="center" wrapText="1"/>
    </xf>
    <xf numFmtId="0" fontId="42" fillId="30" borderId="33" xfId="0" quotePrefix="1" applyFont="1" applyFill="1" applyBorder="1" applyAlignment="1">
      <alignment horizontal="left" vertical="center" wrapText="1"/>
    </xf>
    <xf numFmtId="0" fontId="42" fillId="30" borderId="59" xfId="0" quotePrefix="1" applyFont="1" applyFill="1" applyBorder="1" applyAlignment="1">
      <alignment horizontal="left" vertical="center" wrapText="1"/>
    </xf>
    <xf numFmtId="0" fontId="42" fillId="30" borderId="60" xfId="0" quotePrefix="1" applyFont="1" applyFill="1" applyBorder="1" applyAlignment="1">
      <alignment horizontal="left" vertical="center" wrapText="1"/>
    </xf>
    <xf numFmtId="0" fontId="42" fillId="30" borderId="33" xfId="0" quotePrefix="1" applyFont="1" applyFill="1" applyBorder="1" applyAlignment="1">
      <alignment horizontal="left" vertical="center"/>
    </xf>
    <xf numFmtId="0" fontId="16" fillId="17" borderId="16" xfId="0" quotePrefix="1" applyFont="1" applyFill="1" applyBorder="1" applyAlignment="1">
      <alignment horizontal="center" vertical="center"/>
    </xf>
    <xf numFmtId="0" fontId="16" fillId="17" borderId="17" xfId="0" quotePrefix="1" applyFont="1" applyFill="1" applyBorder="1" applyAlignment="1">
      <alignment horizontal="center" vertical="center"/>
    </xf>
    <xf numFmtId="0" fontId="16" fillId="17" borderId="18" xfId="0" quotePrefix="1" applyFont="1" applyFill="1" applyBorder="1" applyAlignment="1">
      <alignment horizontal="center" vertical="center"/>
    </xf>
    <xf numFmtId="0" fontId="63" fillId="31" borderId="29" xfId="0" quotePrefix="1" applyFont="1" applyFill="1" applyBorder="1" applyAlignment="1">
      <alignment horizontal="left" vertical="center"/>
    </xf>
    <xf numFmtId="0" fontId="63" fillId="31" borderId="51" xfId="0" quotePrefix="1" applyFont="1" applyFill="1" applyBorder="1" applyAlignment="1">
      <alignment horizontal="left" vertical="center"/>
    </xf>
    <xf numFmtId="0" fontId="63" fillId="31" borderId="54" xfId="0" quotePrefix="1" applyFont="1" applyFill="1" applyBorder="1" applyAlignment="1">
      <alignment horizontal="left" vertical="center"/>
    </xf>
    <xf numFmtId="0" fontId="64" fillId="31" borderId="12" xfId="0" applyFont="1" applyFill="1" applyBorder="1" applyAlignment="1">
      <alignment horizontal="center" vertical="center" wrapText="1"/>
    </xf>
    <xf numFmtId="0" fontId="64" fillId="31" borderId="11" xfId="0" applyFont="1" applyFill="1" applyBorder="1" applyAlignment="1">
      <alignment horizontal="center" vertical="center" wrapText="1"/>
    </xf>
    <xf numFmtId="0" fontId="64" fillId="31" borderId="14" xfId="0" applyFont="1" applyFill="1" applyBorder="1" applyAlignment="1">
      <alignment horizontal="center" vertical="center" wrapText="1"/>
    </xf>
    <xf numFmtId="0" fontId="64" fillId="31" borderId="9" xfId="0" applyFont="1" applyFill="1" applyBorder="1" applyAlignment="1">
      <alignment horizontal="center" vertical="center" wrapText="1"/>
    </xf>
    <xf numFmtId="0" fontId="64" fillId="31" borderId="8" xfId="0" applyFont="1" applyFill="1" applyBorder="1" applyAlignment="1">
      <alignment horizontal="center" vertical="center" wrapText="1"/>
    </xf>
    <xf numFmtId="0" fontId="64" fillId="31" borderId="10" xfId="0" applyFont="1" applyFill="1" applyBorder="1" applyAlignment="1">
      <alignment horizontal="center" vertical="center" wrapText="1"/>
    </xf>
    <xf numFmtId="0" fontId="63" fillId="31" borderId="2" xfId="0" quotePrefix="1" applyFont="1" applyFill="1" applyBorder="1" applyAlignment="1">
      <alignment horizontal="left" vertical="center"/>
    </xf>
    <xf numFmtId="0" fontId="63" fillId="31" borderId="27" xfId="0" quotePrefix="1" applyFont="1" applyFill="1" applyBorder="1" applyAlignment="1">
      <alignment horizontal="left" vertical="center"/>
    </xf>
    <xf numFmtId="0" fontId="63" fillId="31" borderId="28" xfId="0" quotePrefix="1" applyFont="1" applyFill="1" applyBorder="1" applyAlignment="1">
      <alignment horizontal="left" vertical="center"/>
    </xf>
    <xf numFmtId="0" fontId="62" fillId="31" borderId="1" xfId="0" quotePrefix="1" applyFont="1" applyFill="1" applyBorder="1" applyAlignment="1">
      <alignment horizontal="left" vertical="center"/>
    </xf>
    <xf numFmtId="0" fontId="40" fillId="30" borderId="1" xfId="10" quotePrefix="1" applyFont="1" applyFill="1" applyBorder="1" applyAlignment="1">
      <alignment horizontal="left" vertical="center"/>
    </xf>
    <xf numFmtId="0" fontId="40" fillId="30" borderId="1" xfId="10" applyFont="1" applyFill="1" applyBorder="1" applyAlignment="1">
      <alignment horizontal="left" vertical="center"/>
    </xf>
    <xf numFmtId="0" fontId="63" fillId="24" borderId="26" xfId="0" quotePrefix="1" applyFont="1" applyFill="1" applyBorder="1" applyAlignment="1">
      <alignment horizontal="left" vertical="center"/>
    </xf>
    <xf numFmtId="0" fontId="64" fillId="24" borderId="38" xfId="0" applyFont="1" applyFill="1" applyBorder="1" applyAlignment="1">
      <alignment horizontal="center" vertical="center" wrapText="1"/>
    </xf>
    <xf numFmtId="0" fontId="64" fillId="24" borderId="40" xfId="0" applyFont="1" applyFill="1" applyBorder="1" applyAlignment="1">
      <alignment horizontal="center" vertical="center" wrapText="1"/>
    </xf>
    <xf numFmtId="0" fontId="64" fillId="24" borderId="45" xfId="0" applyFont="1" applyFill="1" applyBorder="1" applyAlignment="1">
      <alignment horizontal="center" vertical="center" wrapText="1"/>
    </xf>
    <xf numFmtId="0" fontId="64" fillId="24" borderId="46" xfId="0" applyFont="1" applyFill="1" applyBorder="1" applyAlignment="1">
      <alignment horizontal="center" vertical="center" wrapText="1"/>
    </xf>
    <xf numFmtId="0" fontId="64" fillId="24" borderId="48" xfId="0" applyFont="1" applyFill="1" applyBorder="1" applyAlignment="1">
      <alignment horizontal="center" vertical="center" wrapText="1"/>
    </xf>
    <xf numFmtId="0" fontId="64" fillId="24" borderId="50" xfId="0" applyFont="1" applyFill="1" applyBorder="1" applyAlignment="1">
      <alignment horizontal="center" vertical="center" wrapText="1"/>
    </xf>
    <xf numFmtId="0" fontId="63" fillId="24" borderId="2" xfId="0" quotePrefix="1" applyFont="1" applyFill="1" applyBorder="1" applyAlignment="1">
      <alignment horizontal="left" vertical="center"/>
    </xf>
    <xf numFmtId="0" fontId="63" fillId="24" borderId="27" xfId="0" quotePrefix="1" applyFont="1" applyFill="1" applyBorder="1" applyAlignment="1">
      <alignment horizontal="left" vertical="center"/>
    </xf>
    <xf numFmtId="0" fontId="63" fillId="24" borderId="28" xfId="0" quotePrefix="1" applyFont="1" applyFill="1" applyBorder="1" applyAlignment="1">
      <alignment horizontal="left" vertical="center"/>
    </xf>
    <xf numFmtId="0" fontId="62" fillId="24" borderId="1" xfId="0" quotePrefix="1" applyFont="1" applyFill="1" applyBorder="1" applyAlignment="1">
      <alignment horizontal="left" vertical="center"/>
    </xf>
    <xf numFmtId="0" fontId="37" fillId="17" borderId="1" xfId="0" applyFont="1" applyFill="1" applyBorder="1" applyAlignment="1">
      <alignment horizontal="center"/>
    </xf>
    <xf numFmtId="0" fontId="65" fillId="32" borderId="5" xfId="0" applyFont="1" applyFill="1" applyBorder="1" applyAlignment="1">
      <alignment horizontal="center" vertical="center" textRotation="180"/>
    </xf>
    <xf numFmtId="0" fontId="65" fillId="32" borderId="6" xfId="0" applyFont="1" applyFill="1" applyBorder="1" applyAlignment="1">
      <alignment horizontal="center" vertical="center" textRotation="180"/>
    </xf>
    <xf numFmtId="0" fontId="65" fillId="32" borderId="9" xfId="0" applyFont="1" applyFill="1" applyBorder="1" applyAlignment="1">
      <alignment horizontal="center" vertical="center" textRotation="180"/>
    </xf>
    <xf numFmtId="0" fontId="65" fillId="32" borderId="7" xfId="0" applyFont="1" applyFill="1" applyBorder="1" applyAlignment="1">
      <alignment horizontal="center" vertical="center" textRotation="180"/>
    </xf>
    <xf numFmtId="0" fontId="2" fillId="32" borderId="1" xfId="0" applyFont="1" applyFill="1" applyBorder="1" applyAlignment="1">
      <alignment horizontal="left"/>
    </xf>
    <xf numFmtId="0" fontId="2" fillId="32" borderId="3" xfId="0" applyFont="1" applyFill="1" applyBorder="1" applyAlignment="1">
      <alignment horizontal="left"/>
    </xf>
    <xf numFmtId="0" fontId="2" fillId="32" borderId="26" xfId="0" applyFont="1" applyFill="1" applyBorder="1" applyAlignment="1">
      <alignment horizontal="left"/>
    </xf>
    <xf numFmtId="0" fontId="2" fillId="32" borderId="61" xfId="0" applyFont="1" applyFill="1" applyBorder="1" applyAlignment="1">
      <alignment horizontal="left"/>
    </xf>
    <xf numFmtId="0" fontId="69" fillId="17" borderId="1" xfId="0" applyFont="1" applyFill="1" applyBorder="1" applyAlignment="1">
      <alignment horizontal="left"/>
    </xf>
    <xf numFmtId="0" fontId="67" fillId="17" borderId="1" xfId="0" applyFont="1" applyFill="1" applyBorder="1" applyAlignment="1">
      <alignment horizontal="left"/>
    </xf>
    <xf numFmtId="0" fontId="0" fillId="32" borderId="1" xfId="0" applyFont="1" applyFill="1" applyBorder="1" applyAlignment="1">
      <alignment horizontal="left"/>
    </xf>
    <xf numFmtId="0" fontId="3" fillId="17" borderId="1" xfId="0" applyFont="1" applyFill="1" applyBorder="1" applyAlignment="1">
      <alignment horizontal="left"/>
    </xf>
    <xf numFmtId="0" fontId="39" fillId="33" borderId="5" xfId="0" applyFont="1" applyFill="1" applyBorder="1" applyAlignment="1">
      <alignment horizontal="center" vertical="center" textRotation="180"/>
    </xf>
    <xf numFmtId="0" fontId="39" fillId="33" borderId="6" xfId="0" applyFont="1" applyFill="1" applyBorder="1" applyAlignment="1">
      <alignment horizontal="center" vertical="center" textRotation="180"/>
    </xf>
    <xf numFmtId="0" fontId="39" fillId="33" borderId="7" xfId="0" applyFont="1" applyFill="1" applyBorder="1" applyAlignment="1">
      <alignment horizontal="center" vertical="center" textRotation="180"/>
    </xf>
    <xf numFmtId="0" fontId="2" fillId="17" borderId="2" xfId="0" applyFont="1" applyFill="1" applyBorder="1" applyAlignment="1">
      <alignment horizontal="left"/>
    </xf>
    <xf numFmtId="0" fontId="2" fillId="17" borderId="27" xfId="0" applyFont="1" applyFill="1" applyBorder="1" applyAlignment="1">
      <alignment horizontal="left"/>
    </xf>
    <xf numFmtId="0" fontId="2" fillId="17" borderId="28" xfId="0" applyFont="1" applyFill="1" applyBorder="1" applyAlignment="1">
      <alignment horizontal="left"/>
    </xf>
    <xf numFmtId="0" fontId="71" fillId="17" borderId="19" xfId="0" applyFont="1" applyFill="1" applyBorder="1" applyAlignment="1">
      <alignment horizontal="center" vertical="center"/>
    </xf>
    <xf numFmtId="0" fontId="71" fillId="17" borderId="20" xfId="0" applyFont="1" applyFill="1" applyBorder="1" applyAlignment="1">
      <alignment horizontal="center" vertical="center"/>
    </xf>
    <xf numFmtId="0" fontId="39" fillId="26" borderId="5" xfId="0" applyFont="1" applyFill="1" applyBorder="1" applyAlignment="1">
      <alignment horizontal="center" vertical="center" textRotation="180"/>
    </xf>
    <xf numFmtId="0" fontId="39" fillId="26" borderId="6" xfId="0" applyFont="1" applyFill="1" applyBorder="1" applyAlignment="1">
      <alignment horizontal="center" vertical="center" textRotation="180"/>
    </xf>
    <xf numFmtId="0" fontId="39" fillId="26" borderId="9" xfId="0" applyFont="1" applyFill="1" applyBorder="1" applyAlignment="1">
      <alignment horizontal="center" vertical="center" textRotation="180"/>
    </xf>
    <xf numFmtId="0" fontId="39" fillId="26" borderId="7" xfId="0" applyFont="1" applyFill="1" applyBorder="1" applyAlignment="1">
      <alignment horizontal="center" vertical="center" textRotation="180"/>
    </xf>
    <xf numFmtId="0" fontId="3" fillId="17" borderId="42" xfId="0" applyFont="1" applyFill="1" applyBorder="1" applyAlignment="1">
      <alignment horizontal="left"/>
    </xf>
    <xf numFmtId="0" fontId="69" fillId="17" borderId="26" xfId="0" applyFont="1" applyFill="1" applyBorder="1" applyAlignment="1">
      <alignment horizontal="left"/>
    </xf>
    <xf numFmtId="0" fontId="3" fillId="17" borderId="45" xfId="0" applyFont="1" applyFill="1" applyBorder="1" applyAlignment="1">
      <alignment horizontal="left"/>
    </xf>
    <xf numFmtId="0" fontId="3" fillId="17" borderId="46" xfId="0" applyFont="1" applyFill="1" applyBorder="1" applyAlignment="1">
      <alignment horizontal="left"/>
    </xf>
    <xf numFmtId="0" fontId="3" fillId="17" borderId="48" xfId="0" applyFont="1" applyFill="1" applyBorder="1" applyAlignment="1">
      <alignment horizontal="left"/>
    </xf>
    <xf numFmtId="0" fontId="3" fillId="17" borderId="49" xfId="0" applyFont="1" applyFill="1" applyBorder="1" applyAlignment="1">
      <alignment horizontal="left"/>
    </xf>
    <xf numFmtId="0" fontId="3" fillId="17" borderId="50" xfId="0" applyFont="1" applyFill="1" applyBorder="1" applyAlignment="1">
      <alignment horizontal="left"/>
    </xf>
    <xf numFmtId="0" fontId="3" fillId="17" borderId="38" xfId="0" applyFont="1" applyFill="1" applyBorder="1" applyAlignment="1">
      <alignment horizontal="left"/>
    </xf>
    <xf numFmtId="0" fontId="3" fillId="17" borderId="39" xfId="0" applyFont="1" applyFill="1" applyBorder="1" applyAlignment="1">
      <alignment horizontal="left"/>
    </xf>
    <xf numFmtId="0" fontId="3" fillId="17" borderId="40" xfId="0" applyFont="1" applyFill="1" applyBorder="1" applyAlignment="1">
      <alignment horizontal="left"/>
    </xf>
    <xf numFmtId="41" fontId="36" fillId="7" borderId="13" xfId="3" applyFont="1" applyFill="1" applyBorder="1" applyAlignment="1">
      <alignment horizontal="center" vertical="center"/>
    </xf>
    <xf numFmtId="41" fontId="36" fillId="7" borderId="11" xfId="3" applyFont="1" applyFill="1" applyBorder="1" applyAlignment="1">
      <alignment horizontal="center" vertical="center"/>
    </xf>
    <xf numFmtId="41" fontId="36" fillId="7" borderId="15" xfId="3" applyFont="1" applyFill="1" applyBorder="1" applyAlignment="1">
      <alignment horizontal="center" vertical="center"/>
    </xf>
    <xf numFmtId="41" fontId="36" fillId="7" borderId="10" xfId="3" applyFont="1" applyFill="1" applyBorder="1" applyAlignment="1">
      <alignment horizontal="center" vertical="center"/>
    </xf>
    <xf numFmtId="0" fontId="15" fillId="14" borderId="12" xfId="0" applyFont="1" applyFill="1" applyBorder="1" applyAlignment="1">
      <alignment horizontal="center"/>
    </xf>
    <xf numFmtId="0" fontId="15" fillId="14" borderId="13" xfId="0" applyFont="1" applyFill="1" applyBorder="1" applyAlignment="1">
      <alignment horizontal="center"/>
    </xf>
    <xf numFmtId="0" fontId="15" fillId="14" borderId="11" xfId="0" applyFont="1" applyFill="1" applyBorder="1" applyAlignment="1">
      <alignment horizontal="center"/>
    </xf>
    <xf numFmtId="0" fontId="15" fillId="14" borderId="29" xfId="0" applyFont="1" applyFill="1" applyBorder="1" applyAlignment="1">
      <alignment horizontal="left" vertical="center"/>
    </xf>
    <xf numFmtId="0" fontId="15" fillId="14" borderId="51" xfId="0" applyFont="1" applyFill="1" applyBorder="1" applyAlignment="1">
      <alignment horizontal="left" vertical="center"/>
    </xf>
    <xf numFmtId="0" fontId="15" fillId="14" borderId="54" xfId="0" applyFont="1" applyFill="1" applyBorder="1" applyAlignment="1">
      <alignment horizontal="left" vertical="center"/>
    </xf>
    <xf numFmtId="0" fontId="0" fillId="34" borderId="1" xfId="0" applyFill="1" applyBorder="1" applyAlignment="1">
      <alignment horizontal="left"/>
    </xf>
    <xf numFmtId="0" fontId="35" fillId="34" borderId="1" xfId="0" quotePrefix="1" applyFont="1" applyFill="1" applyBorder="1" applyAlignment="1">
      <alignment horizontal="left"/>
    </xf>
    <xf numFmtId="0" fontId="2" fillId="34" borderId="1" xfId="0" applyFont="1" applyFill="1" applyBorder="1" applyAlignment="1">
      <alignment horizontal="left"/>
    </xf>
    <xf numFmtId="0" fontId="43" fillId="14" borderId="55" xfId="0" applyFont="1" applyFill="1" applyBorder="1" applyAlignment="1">
      <alignment horizontal="center" vertical="center"/>
    </xf>
    <xf numFmtId="0" fontId="43" fillId="14" borderId="27" xfId="0" applyFont="1" applyFill="1" applyBorder="1" applyAlignment="1">
      <alignment horizontal="center" vertical="center"/>
    </xf>
    <xf numFmtId="0" fontId="43" fillId="14" borderId="28" xfId="0" applyFont="1" applyFill="1" applyBorder="1" applyAlignment="1">
      <alignment horizontal="center" vertical="center"/>
    </xf>
    <xf numFmtId="0" fontId="42" fillId="35" borderId="14" xfId="0" quotePrefix="1" applyFont="1" applyFill="1" applyBorder="1" applyAlignment="1">
      <alignment horizontal="left" vertical="center"/>
    </xf>
    <xf numFmtId="0" fontId="42" fillId="35" borderId="0" xfId="0" quotePrefix="1" applyFont="1" applyFill="1" applyBorder="1" applyAlignment="1">
      <alignment horizontal="left" vertical="center"/>
    </xf>
    <xf numFmtId="0" fontId="42" fillId="35" borderId="41" xfId="0" quotePrefix="1" applyFont="1" applyFill="1" applyBorder="1" applyAlignment="1">
      <alignment horizontal="left" vertical="center"/>
    </xf>
    <xf numFmtId="0" fontId="0" fillId="34" borderId="2" xfId="0" applyFill="1" applyBorder="1" applyAlignment="1">
      <alignment horizontal="left"/>
    </xf>
    <xf numFmtId="0" fontId="0" fillId="34" borderId="27" xfId="0" applyFill="1" applyBorder="1" applyAlignment="1">
      <alignment horizontal="left"/>
    </xf>
    <xf numFmtId="0" fontId="0" fillId="34" borderId="28" xfId="0" applyFill="1" applyBorder="1" applyAlignment="1">
      <alignment horizontal="left"/>
    </xf>
    <xf numFmtId="0" fontId="2" fillId="34" borderId="2" xfId="0" applyFont="1" applyFill="1" applyBorder="1" applyAlignment="1">
      <alignment horizontal="left"/>
    </xf>
    <xf numFmtId="0" fontId="2" fillId="34" borderId="27" xfId="0" applyFont="1" applyFill="1" applyBorder="1" applyAlignment="1">
      <alignment horizontal="left"/>
    </xf>
    <xf numFmtId="0" fontId="2" fillId="34" borderId="28" xfId="0" applyFont="1" applyFill="1" applyBorder="1" applyAlignment="1">
      <alignment horizontal="left"/>
    </xf>
    <xf numFmtId="0" fontId="43" fillId="35" borderId="53" xfId="0" quotePrefix="1" applyFont="1" applyFill="1" applyBorder="1" applyAlignment="1">
      <alignment horizontal="left" vertical="center"/>
    </xf>
    <xf numFmtId="0" fontId="43" fillId="35" borderId="51" xfId="0" quotePrefix="1" applyFont="1" applyFill="1" applyBorder="1" applyAlignment="1">
      <alignment horizontal="left" vertical="center"/>
    </xf>
    <xf numFmtId="0" fontId="43" fillId="35" borderId="54" xfId="0" quotePrefix="1" applyFont="1" applyFill="1" applyBorder="1" applyAlignment="1">
      <alignment horizontal="left" vertical="center"/>
    </xf>
    <xf numFmtId="0" fontId="42" fillId="35" borderId="33" xfId="0" quotePrefix="1" applyFont="1" applyFill="1" applyBorder="1" applyAlignment="1">
      <alignment horizontal="left" vertical="center"/>
    </xf>
    <xf numFmtId="0" fontId="42" fillId="35" borderId="59" xfId="0" quotePrefix="1" applyFont="1" applyFill="1" applyBorder="1" applyAlignment="1">
      <alignment horizontal="left" vertical="center"/>
    </xf>
    <xf numFmtId="0" fontId="42" fillId="35" borderId="60" xfId="0" quotePrefix="1" applyFont="1" applyFill="1" applyBorder="1" applyAlignment="1">
      <alignment horizontal="left" vertical="center"/>
    </xf>
    <xf numFmtId="0" fontId="43" fillId="35" borderId="14" xfId="0" quotePrefix="1" applyFont="1" applyFill="1" applyBorder="1" applyAlignment="1">
      <alignment horizontal="left" vertical="center"/>
    </xf>
    <xf numFmtId="0" fontId="43" fillId="35" borderId="0" xfId="0" quotePrefix="1" applyFont="1" applyFill="1" applyBorder="1" applyAlignment="1">
      <alignment horizontal="left" vertical="center"/>
    </xf>
    <xf numFmtId="0" fontId="43" fillId="35" borderId="41" xfId="0" quotePrefix="1" applyFont="1" applyFill="1" applyBorder="1" applyAlignment="1">
      <alignment horizontal="left" vertical="center"/>
    </xf>
    <xf numFmtId="0" fontId="40" fillId="35" borderId="55" xfId="0" quotePrefix="1" applyFont="1" applyFill="1" applyBorder="1" applyAlignment="1">
      <alignment horizontal="left" vertical="center"/>
    </xf>
    <xf numFmtId="0" fontId="40" fillId="35" borderId="27" xfId="0" quotePrefix="1" applyFont="1" applyFill="1" applyBorder="1" applyAlignment="1">
      <alignment horizontal="left" vertical="center"/>
    </xf>
    <xf numFmtId="0" fontId="40" fillId="35" borderId="28" xfId="0" quotePrefix="1" applyFont="1" applyFill="1" applyBorder="1" applyAlignment="1">
      <alignment horizontal="left" vertical="center"/>
    </xf>
    <xf numFmtId="0" fontId="40" fillId="30" borderId="55" xfId="0" quotePrefix="1" applyFont="1" applyFill="1" applyBorder="1" applyAlignment="1">
      <alignment horizontal="right" vertical="center"/>
    </xf>
    <xf numFmtId="0" fontId="40" fillId="30" borderId="27" xfId="0" quotePrefix="1" applyFont="1" applyFill="1" applyBorder="1" applyAlignment="1">
      <alignment horizontal="right" vertical="center"/>
    </xf>
    <xf numFmtId="0" fontId="40" fillId="30" borderId="28" xfId="0" quotePrefix="1" applyFont="1" applyFill="1" applyBorder="1" applyAlignment="1">
      <alignment horizontal="right" vertical="center"/>
    </xf>
    <xf numFmtId="0" fontId="43" fillId="35" borderId="53" xfId="0" quotePrefix="1" applyFont="1" applyFill="1" applyBorder="1" applyAlignment="1">
      <alignment horizontal="left" vertical="center" wrapText="1"/>
    </xf>
    <xf numFmtId="0" fontId="43" fillId="35" borderId="51" xfId="0" quotePrefix="1" applyFont="1" applyFill="1" applyBorder="1" applyAlignment="1">
      <alignment horizontal="left" vertical="center" wrapText="1"/>
    </xf>
    <xf numFmtId="0" fontId="43" fillId="35" borderId="54" xfId="0" quotePrefix="1" applyFont="1" applyFill="1" applyBorder="1" applyAlignment="1">
      <alignment horizontal="left" vertical="center" wrapText="1"/>
    </xf>
    <xf numFmtId="0" fontId="42" fillId="35" borderId="33" xfId="0" quotePrefix="1" applyFont="1" applyFill="1" applyBorder="1" applyAlignment="1">
      <alignment horizontal="left" vertical="center" wrapText="1"/>
    </xf>
    <xf numFmtId="0" fontId="42" fillId="35" borderId="59" xfId="0" quotePrefix="1" applyFont="1" applyFill="1" applyBorder="1" applyAlignment="1">
      <alignment horizontal="left" vertical="center" wrapText="1"/>
    </xf>
    <xf numFmtId="0" fontId="42" fillId="35" borderId="60" xfId="0" quotePrefix="1" applyFont="1" applyFill="1" applyBorder="1" applyAlignment="1">
      <alignment horizontal="left" vertical="center" wrapText="1"/>
    </xf>
    <xf numFmtId="0" fontId="16" fillId="14" borderId="53" xfId="0" quotePrefix="1" applyFont="1" applyFill="1" applyBorder="1" applyAlignment="1">
      <alignment horizontal="center" vertical="center"/>
    </xf>
    <xf numFmtId="0" fontId="16" fillId="14" borderId="51" xfId="0" quotePrefix="1" applyFont="1" applyFill="1" applyBorder="1" applyAlignment="1">
      <alignment horizontal="center" vertical="center"/>
    </xf>
    <xf numFmtId="0" fontId="40" fillId="24" borderId="1" xfId="10" quotePrefix="1" applyFont="1" applyFill="1" applyBorder="1" applyAlignment="1">
      <alignment horizontal="left" vertical="center"/>
    </xf>
    <xf numFmtId="0" fontId="40" fillId="24" borderId="1" xfId="10" applyFont="1" applyFill="1" applyBorder="1" applyAlignment="1">
      <alignment horizontal="left" vertical="center"/>
    </xf>
    <xf numFmtId="0" fontId="63" fillId="24" borderId="1" xfId="0" quotePrefix="1" applyFont="1" applyFill="1" applyBorder="1" applyAlignment="1">
      <alignment horizontal="left" vertical="center"/>
    </xf>
    <xf numFmtId="0" fontId="37" fillId="14" borderId="1" xfId="0" applyFont="1" applyFill="1" applyBorder="1" applyAlignment="1">
      <alignment horizontal="center"/>
    </xf>
    <xf numFmtId="0" fontId="65" fillId="24" borderId="5" xfId="0" applyFont="1" applyFill="1" applyBorder="1" applyAlignment="1">
      <alignment horizontal="center" vertical="center" textRotation="180"/>
    </xf>
    <xf numFmtId="0" fontId="65" fillId="24" borderId="6" xfId="0" applyFont="1" applyFill="1" applyBorder="1" applyAlignment="1">
      <alignment horizontal="center" vertical="center" textRotation="180"/>
    </xf>
    <xf numFmtId="0" fontId="65" fillId="24" borderId="9" xfId="0" applyFont="1" applyFill="1" applyBorder="1" applyAlignment="1">
      <alignment horizontal="center" vertical="center" textRotation="180"/>
    </xf>
    <xf numFmtId="0" fontId="65" fillId="24" borderId="7" xfId="0" applyFont="1" applyFill="1" applyBorder="1" applyAlignment="1">
      <alignment horizontal="center" vertical="center" textRotation="180"/>
    </xf>
    <xf numFmtId="0" fontId="2" fillId="24" borderId="1" xfId="0" applyFont="1" applyFill="1" applyBorder="1" applyAlignment="1">
      <alignment horizontal="left"/>
    </xf>
    <xf numFmtId="0" fontId="2" fillId="24" borderId="3" xfId="0" applyFont="1" applyFill="1" applyBorder="1" applyAlignment="1">
      <alignment horizontal="left"/>
    </xf>
    <xf numFmtId="0" fontId="2" fillId="24" borderId="26" xfId="0" applyFont="1" applyFill="1" applyBorder="1" applyAlignment="1">
      <alignment horizontal="left"/>
    </xf>
    <xf numFmtId="0" fontId="2" fillId="24" borderId="61" xfId="0" applyFont="1" applyFill="1" applyBorder="1" applyAlignment="1">
      <alignment horizontal="left"/>
    </xf>
    <xf numFmtId="0" fontId="69" fillId="14" borderId="1" xfId="0" applyFont="1" applyFill="1" applyBorder="1" applyAlignment="1">
      <alignment horizontal="left"/>
    </xf>
    <xf numFmtId="0" fontId="67" fillId="14" borderId="1" xfId="0" applyFont="1" applyFill="1" applyBorder="1" applyAlignment="1">
      <alignment horizontal="left"/>
    </xf>
    <xf numFmtId="0" fontId="2" fillId="24" borderId="2" xfId="0" applyFont="1" applyFill="1" applyBorder="1" applyAlignment="1">
      <alignment horizontal="left"/>
    </xf>
    <xf numFmtId="0" fontId="2" fillId="24" borderId="27" xfId="0" applyFont="1" applyFill="1" applyBorder="1" applyAlignment="1">
      <alignment horizontal="left"/>
    </xf>
    <xf numFmtId="0" fontId="2" fillId="24" borderId="28" xfId="0" applyFont="1" applyFill="1" applyBorder="1" applyAlignment="1">
      <alignment horizontal="left"/>
    </xf>
    <xf numFmtId="0" fontId="0" fillId="24" borderId="2" xfId="0" applyFont="1" applyFill="1" applyBorder="1" applyAlignment="1">
      <alignment horizontal="left"/>
    </xf>
    <xf numFmtId="0" fontId="0" fillId="24" borderId="27" xfId="0" applyFont="1" applyFill="1" applyBorder="1" applyAlignment="1">
      <alignment horizontal="left"/>
    </xf>
    <xf numFmtId="0" fontId="0" fillId="24" borderId="28" xfId="0" applyFont="1" applyFill="1" applyBorder="1" applyAlignment="1">
      <alignment horizontal="left"/>
    </xf>
    <xf numFmtId="0" fontId="0" fillId="24" borderId="1" xfId="0" applyFont="1" applyFill="1" applyBorder="1" applyAlignment="1">
      <alignment horizontal="left"/>
    </xf>
    <xf numFmtId="0" fontId="3" fillId="14" borderId="1" xfId="0" applyFont="1" applyFill="1" applyBorder="1" applyAlignment="1">
      <alignment horizontal="left"/>
    </xf>
    <xf numFmtId="0" fontId="39" fillId="24" borderId="5" xfId="0" applyFont="1" applyFill="1" applyBorder="1" applyAlignment="1">
      <alignment horizontal="center" vertical="center" textRotation="180" wrapText="1"/>
    </xf>
    <xf numFmtId="0" fontId="39" fillId="24" borderId="6" xfId="0" applyFont="1" applyFill="1" applyBorder="1" applyAlignment="1">
      <alignment horizontal="center" vertical="center" textRotation="180" wrapText="1"/>
    </xf>
    <xf numFmtId="0" fontId="39" fillId="24" borderId="7" xfId="0" applyFont="1" applyFill="1" applyBorder="1" applyAlignment="1">
      <alignment horizontal="center" vertical="center" textRotation="180" wrapText="1"/>
    </xf>
    <xf numFmtId="0" fontId="2" fillId="14" borderId="2" xfId="0" applyFont="1" applyFill="1" applyBorder="1" applyAlignment="1">
      <alignment horizontal="left"/>
    </xf>
    <xf numFmtId="0" fontId="2" fillId="14" borderId="27" xfId="0" applyFont="1" applyFill="1" applyBorder="1" applyAlignment="1">
      <alignment horizontal="left"/>
    </xf>
    <xf numFmtId="0" fontId="2" fillId="14" borderId="28" xfId="0" applyFont="1" applyFill="1" applyBorder="1" applyAlignment="1">
      <alignment horizontal="left"/>
    </xf>
    <xf numFmtId="0" fontId="39" fillId="24" borderId="5" xfId="0" applyFont="1" applyFill="1" applyBorder="1" applyAlignment="1">
      <alignment horizontal="center" vertical="center" textRotation="180"/>
    </xf>
    <xf numFmtId="0" fontId="39" fillId="24" borderId="6" xfId="0" applyFont="1" applyFill="1" applyBorder="1" applyAlignment="1">
      <alignment horizontal="center" vertical="center" textRotation="180"/>
    </xf>
    <xf numFmtId="0" fontId="39" fillId="24" borderId="9" xfId="0" applyFont="1" applyFill="1" applyBorder="1" applyAlignment="1">
      <alignment horizontal="center" vertical="center" textRotation="180"/>
    </xf>
    <xf numFmtId="0" fontId="39" fillId="24" borderId="7" xfId="0" applyFont="1" applyFill="1" applyBorder="1" applyAlignment="1">
      <alignment horizontal="center" vertical="center" textRotation="180"/>
    </xf>
    <xf numFmtId="0" fontId="43" fillId="24" borderId="1" xfId="0" quotePrefix="1" applyFont="1" applyFill="1" applyBorder="1" applyAlignment="1">
      <alignment horizontal="left" vertical="center" wrapText="1"/>
    </xf>
    <xf numFmtId="0" fontId="2" fillId="24" borderId="42" xfId="0" applyFont="1" applyFill="1" applyBorder="1" applyAlignment="1">
      <alignment horizontal="left"/>
    </xf>
    <xf numFmtId="41" fontId="36" fillId="8" borderId="12" xfId="3" applyFont="1" applyFill="1" applyBorder="1" applyAlignment="1">
      <alignment horizontal="center" vertical="center"/>
    </xf>
    <xf numFmtId="41" fontId="36" fillId="8" borderId="11" xfId="3" applyFont="1" applyFill="1" applyBorder="1" applyAlignment="1">
      <alignment horizontal="center" vertical="center"/>
    </xf>
    <xf numFmtId="41" fontId="36" fillId="8" borderId="8" xfId="3" applyFont="1" applyFill="1" applyBorder="1" applyAlignment="1">
      <alignment horizontal="center" vertical="center"/>
    </xf>
    <xf numFmtId="41" fontId="36" fillId="8" borderId="10" xfId="3" applyFont="1" applyFill="1" applyBorder="1" applyAlignment="1">
      <alignment horizontal="center" vertical="center"/>
    </xf>
    <xf numFmtId="0" fontId="3" fillId="14" borderId="38" xfId="0" applyFont="1" applyFill="1" applyBorder="1" applyAlignment="1">
      <alignment horizontal="left"/>
    </xf>
    <xf numFmtId="0" fontId="3" fillId="14" borderId="39" xfId="0" applyFont="1" applyFill="1" applyBorder="1" applyAlignment="1">
      <alignment horizontal="left"/>
    </xf>
    <xf numFmtId="0" fontId="3" fillId="14" borderId="40" xfId="0" applyFont="1" applyFill="1" applyBorder="1" applyAlignment="1">
      <alignment horizontal="left"/>
    </xf>
    <xf numFmtId="0" fontId="18" fillId="14" borderId="26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/>
    </xf>
    <xf numFmtId="0" fontId="2" fillId="7" borderId="46" xfId="0" applyFont="1" applyFill="1" applyBorder="1" applyAlignment="1">
      <alignment horizontal="left"/>
    </xf>
    <xf numFmtId="0" fontId="2" fillId="7" borderId="48" xfId="0" applyFont="1" applyFill="1" applyBorder="1" applyAlignment="1">
      <alignment horizontal="left"/>
    </xf>
    <xf numFmtId="0" fontId="2" fillId="7" borderId="49" xfId="0" applyFont="1" applyFill="1" applyBorder="1" applyAlignment="1">
      <alignment horizontal="left"/>
    </xf>
    <xf numFmtId="0" fontId="2" fillId="7" borderId="50" xfId="0" applyFont="1" applyFill="1" applyBorder="1" applyAlignment="1">
      <alignment horizontal="left"/>
    </xf>
    <xf numFmtId="0" fontId="3" fillId="14" borderId="45" xfId="0" applyFont="1" applyFill="1" applyBorder="1" applyAlignment="1">
      <alignment horizontal="left"/>
    </xf>
    <xf numFmtId="0" fontId="3" fillId="14" borderId="46" xfId="0" applyFont="1" applyFill="1" applyBorder="1" applyAlignment="1">
      <alignment horizontal="left"/>
    </xf>
    <xf numFmtId="0" fontId="3" fillId="14" borderId="48" xfId="0" applyFont="1" applyFill="1" applyBorder="1" applyAlignment="1">
      <alignment horizontal="left"/>
    </xf>
    <xf numFmtId="0" fontId="3" fillId="14" borderId="49" xfId="0" applyFont="1" applyFill="1" applyBorder="1" applyAlignment="1">
      <alignment horizontal="left"/>
    </xf>
    <xf numFmtId="0" fontId="3" fillId="14" borderId="50" xfId="0" applyFont="1" applyFill="1" applyBorder="1" applyAlignment="1">
      <alignment horizontal="left"/>
    </xf>
    <xf numFmtId="0" fontId="73" fillId="7" borderId="12" xfId="0" applyFont="1" applyFill="1" applyBorder="1" applyAlignment="1">
      <alignment horizontal="center" vertical="center"/>
    </xf>
    <xf numFmtId="0" fontId="73" fillId="7" borderId="13" xfId="0" applyFont="1" applyFill="1" applyBorder="1" applyAlignment="1">
      <alignment horizontal="center" vertical="center"/>
    </xf>
    <xf numFmtId="0" fontId="73" fillId="7" borderId="11" xfId="0" applyFont="1" applyFill="1" applyBorder="1" applyAlignment="1">
      <alignment horizontal="center" vertical="center"/>
    </xf>
    <xf numFmtId="0" fontId="73" fillId="7" borderId="8" xfId="0" applyFont="1" applyFill="1" applyBorder="1" applyAlignment="1">
      <alignment horizontal="center" vertical="center"/>
    </xf>
    <xf numFmtId="0" fontId="73" fillId="7" borderId="15" xfId="0" applyFont="1" applyFill="1" applyBorder="1" applyAlignment="1">
      <alignment horizontal="center" vertical="center"/>
    </xf>
    <xf numFmtId="0" fontId="73" fillId="7" borderId="10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left"/>
    </xf>
    <xf numFmtId="0" fontId="2" fillId="7" borderId="39" xfId="0" applyFont="1" applyFill="1" applyBorder="1" applyAlignment="1">
      <alignment horizontal="left"/>
    </xf>
    <xf numFmtId="0" fontId="2" fillId="7" borderId="40" xfId="0" applyFont="1" applyFill="1" applyBorder="1" applyAlignment="1">
      <alignment horizontal="left"/>
    </xf>
  </cellXfs>
  <cellStyles count="11">
    <cellStyle name="Hipervínculo" xfId="9" builtinId="8"/>
    <cellStyle name="Millares" xfId="1" builtinId="3"/>
    <cellStyle name="Millares [0]" xfId="3" builtinId="6"/>
    <cellStyle name="Millares [0] 2" xfId="5" xr:uid="{00000000-0005-0000-0000-000003000000}"/>
    <cellStyle name="Millares [0] 2 2" xfId="6" xr:uid="{00000000-0005-0000-0000-000004000000}"/>
    <cellStyle name="Millares 19" xfId="7" xr:uid="{00000000-0005-0000-0000-000005000000}"/>
    <cellStyle name="Millares 2" xfId="4" xr:uid="{00000000-0005-0000-0000-000006000000}"/>
    <cellStyle name="Moneda" xfId="8" builtinId="4"/>
    <cellStyle name="Normal" xfId="0" builtinId="0"/>
    <cellStyle name="Normal_TALLER No 7 MODELOS VT_FCLO" xfId="10" xr:uid="{00000000-0005-0000-0000-000009000000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GENERACIÓN DE UTILIDAD DE ACTIVOS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Activos totales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Financieros'!$C$59:$G$59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'Estados Financieros'!$C$53:$G$53</c:f>
              <c:numCache>
                <c:formatCode>#,##0_);[Red]\(#,##0\)</c:formatCode>
                <c:ptCount val="5"/>
                <c:pt idx="0">
                  <c:v>31666918931.359989</c:v>
                </c:pt>
                <c:pt idx="1">
                  <c:v>33843673120.527508</c:v>
                </c:pt>
                <c:pt idx="2">
                  <c:v>43877859613.18</c:v>
                </c:pt>
                <c:pt idx="3">
                  <c:v>63125575551.539993</c:v>
                </c:pt>
                <c:pt idx="4">
                  <c:v>90039961329.380005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91-4E81-9037-54616F491955}"/>
            </c:ext>
          </c:extLst>
        </c:ser>
        <c:ser>
          <c:idx val="1"/>
          <c:order val="1"/>
          <c:tx>
            <c:v>Utilidad neta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0"/>
                  <c:y val="-6.08034744842562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291-4E81-9037-54616F491955}"/>
                </c:ext>
              </c:extLst>
            </c:dLbl>
            <c:dLbl>
              <c:idx val="1"/>
              <c:layout>
                <c:manualLayout>
                  <c:x val="0"/>
                  <c:y val="-6.08034744842562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291-4E81-9037-54616F491955}"/>
                </c:ext>
              </c:extLst>
            </c:dLbl>
            <c:dLbl>
              <c:idx val="2"/>
              <c:layout>
                <c:manualLayout>
                  <c:x val="-8.6070993180980237E-17"/>
                  <c:y val="-6.08034744842562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291-4E81-9037-54616F491955}"/>
                </c:ext>
              </c:extLst>
            </c:dLbl>
            <c:dLbl>
              <c:idx val="3"/>
              <c:layout>
                <c:manualLayout>
                  <c:x val="0"/>
                  <c:y val="-0.1563517915309446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291-4E81-9037-54616F491955}"/>
                </c:ext>
              </c:extLst>
            </c:dLbl>
            <c:dLbl>
              <c:idx val="4"/>
              <c:layout>
                <c:manualLayout>
                  <c:x val="-2.3474178403755869E-3"/>
                  <c:y val="-8.25190010857764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291-4E81-9037-54616F4919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Financieros'!$C$59:$G$59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'Estados Financieros'!$C$73:$G$73</c:f>
              <c:numCache>
                <c:formatCode>#,##0_);[Red]\(#,##0\)</c:formatCode>
                <c:ptCount val="5"/>
                <c:pt idx="0">
                  <c:v>1664069505.5899978</c:v>
                </c:pt>
                <c:pt idx="1">
                  <c:v>2123237759.8943005</c:v>
                </c:pt>
                <c:pt idx="2">
                  <c:v>2297211449.0599995</c:v>
                </c:pt>
                <c:pt idx="3">
                  <c:v>1407140596.7800007</c:v>
                </c:pt>
                <c:pt idx="4">
                  <c:v>651860806.84999514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D291-4E81-9037-54616F491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2661615"/>
        <c:axId val="937833679"/>
      </c:lineChart>
      <c:catAx>
        <c:axId val="682661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37833679"/>
        <c:crosses val="autoZero"/>
        <c:auto val="1"/>
        <c:lblAlgn val="ctr"/>
        <c:lblOffset val="100"/>
        <c:noMultiLvlLbl val="0"/>
      </c:catAx>
      <c:valAx>
        <c:axId val="93783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82661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ROA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'Inductores de Rentabilidad'!$C$12:$G$12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de Rentabilidad'!$C$15:$G$15</c:f>
              <c:numCache>
                <c:formatCode>0.00%</c:formatCode>
                <c:ptCount val="5"/>
                <c:pt idx="0">
                  <c:v>5.2549144715311316E-2</c:v>
                </c:pt>
                <c:pt idx="1">
                  <c:v>6.2736622952621363E-2</c:v>
                </c:pt>
                <c:pt idx="2">
                  <c:v>5.2354683416571714E-2</c:v>
                </c:pt>
                <c:pt idx="3">
                  <c:v>2.2291132943924288E-2</c:v>
                </c:pt>
                <c:pt idx="4">
                  <c:v>7.2396833276255988E-3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B4-4E15-9D55-0500BEDD83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065535"/>
        <c:axId val="683364047"/>
      </c:lineChart>
      <c:catAx>
        <c:axId val="9280655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83364047"/>
        <c:crosses val="autoZero"/>
        <c:auto val="1"/>
        <c:lblAlgn val="ctr"/>
        <c:lblOffset val="100"/>
        <c:noMultiLvlLbl val="0"/>
      </c:catAx>
      <c:valAx>
        <c:axId val="683364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280655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UODI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VENTAS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'Inductores de Rentabilidad'!$C$28:$G$28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de Rentabilidad'!$C$32:$G$32</c:f>
              <c:numCache>
                <c:formatCode>_-* #,##0\ _€_-;\-* #,##0\ _€_-;_-* "-"??\ _€_-;_-@_-</c:formatCode>
                <c:ptCount val="5"/>
                <c:pt idx="0">
                  <c:v>23022505394.929996</c:v>
                </c:pt>
                <c:pt idx="1">
                  <c:v>26779815999</c:v>
                </c:pt>
                <c:pt idx="2">
                  <c:v>32806589929.220009</c:v>
                </c:pt>
                <c:pt idx="3">
                  <c:v>48267951070.199997</c:v>
                </c:pt>
                <c:pt idx="4">
                  <c:v>51117452420.909996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9E-4056-AE2F-FE6EA7501752}"/>
            </c:ext>
          </c:extLst>
        </c:ser>
        <c:ser>
          <c:idx val="0"/>
          <c:order val="1"/>
          <c:tx>
            <c:v>UODI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'Inductores de Rentabilidad'!$C$28:$G$28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de Rentabilidad'!$C$31:$G$31</c:f>
              <c:numCache>
                <c:formatCode>_-* #,##0\ _€_-;\-* #,##0\ _€_-;_-* "-"??\ _€_-;_-@_-</c:formatCode>
                <c:ptCount val="5"/>
                <c:pt idx="0">
                  <c:v>2340587413.5496426</c:v>
                </c:pt>
                <c:pt idx="1">
                  <c:v>2707726297.9139972</c:v>
                </c:pt>
                <c:pt idx="2">
                  <c:v>2915103374.6952891</c:v>
                </c:pt>
                <c:pt idx="3">
                  <c:v>1811466112.4551215</c:v>
                </c:pt>
                <c:pt idx="4">
                  <c:v>924482197.49645281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9E-4056-AE2F-FE6EA75017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088569791"/>
        <c:axId val="935484895"/>
      </c:barChart>
      <c:catAx>
        <c:axId val="1088569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35484895"/>
        <c:crosses val="autoZero"/>
        <c:auto val="1"/>
        <c:lblAlgn val="ctr"/>
        <c:lblOffset val="100"/>
        <c:noMultiLvlLbl val="0"/>
      </c:catAx>
      <c:valAx>
        <c:axId val="935484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\ _€_-;\-* #,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8569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Distancia Operacional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Informe!$N$58</c:f>
              <c:strCache>
                <c:ptCount val="1"/>
                <c:pt idx="0">
                  <c:v>ROA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Informe!$O$58:$S$58</c:f>
              <c:numCache>
                <c:formatCode>0%</c:formatCode>
                <c:ptCount val="5"/>
                <c:pt idx="0">
                  <c:v>3.9434253471210858E-2</c:v>
                </c:pt>
                <c:pt idx="1">
                  <c:v>3.9434253471210858E-2</c:v>
                </c:pt>
                <c:pt idx="2">
                  <c:v>3.9434253471210858E-2</c:v>
                </c:pt>
                <c:pt idx="3">
                  <c:v>3.9434253471210858E-2</c:v>
                </c:pt>
                <c:pt idx="4">
                  <c:v>3.9434253471210858E-2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FC-4623-BDBC-0449EEAEC4B7}"/>
            </c:ext>
          </c:extLst>
        </c:ser>
        <c:ser>
          <c:idx val="1"/>
          <c:order val="1"/>
          <c:tx>
            <c:strRef>
              <c:f>Informe!$N$60</c:f>
              <c:strCache>
                <c:ptCount val="1"/>
                <c:pt idx="0">
                  <c:v>DISTANCIA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Informe!$O$60:$S$60</c:f>
              <c:numCache>
                <c:formatCode>0%</c:formatCode>
                <c:ptCount val="5"/>
                <c:pt idx="0">
                  <c:v>-7.8365220985336326E-2</c:v>
                </c:pt>
                <c:pt idx="1">
                  <c:v>-7.8365220985336326E-2</c:v>
                </c:pt>
                <c:pt idx="2">
                  <c:v>-7.8365220985336326E-2</c:v>
                </c:pt>
                <c:pt idx="3">
                  <c:v>-7.8365220985336326E-2</c:v>
                </c:pt>
                <c:pt idx="4">
                  <c:v>-7.8365220985336326E-2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FC-4623-BDBC-0449EEAEC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3819231"/>
        <c:axId val="1104306335"/>
      </c:lineChart>
      <c:catAx>
        <c:axId val="1113819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4306335"/>
        <c:crosses val="autoZero"/>
        <c:auto val="1"/>
        <c:lblAlgn val="ctr"/>
        <c:lblOffset val="100"/>
        <c:noMultiLvlLbl val="0"/>
      </c:catAx>
      <c:valAx>
        <c:axId val="1104306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13819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EBITDA - MARGEN EBITDA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'Inductores Operativos y Financi'!$B$34</c:f>
              <c:strCache>
                <c:ptCount val="1"/>
                <c:pt idx="0">
                  <c:v>Ventas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Financi'!$C$34:$G$34</c:f>
              <c:numCache>
                <c:formatCode>#,##0</c:formatCode>
                <c:ptCount val="5"/>
                <c:pt idx="0">
                  <c:v>23022505394.929996</c:v>
                </c:pt>
                <c:pt idx="1">
                  <c:v>26779815999</c:v>
                </c:pt>
                <c:pt idx="2">
                  <c:v>32806589929.220009</c:v>
                </c:pt>
                <c:pt idx="3">
                  <c:v>48267951070.199997</c:v>
                </c:pt>
                <c:pt idx="4">
                  <c:v>51117452420.909996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CD-45A7-A30E-C464DCB6E057}"/>
            </c:ext>
          </c:extLst>
        </c:ser>
        <c:ser>
          <c:idx val="1"/>
          <c:order val="1"/>
          <c:tx>
            <c:strRef>
              <c:f>'Inductores Operativos y Financi'!$B$35</c:f>
              <c:strCache>
                <c:ptCount val="1"/>
                <c:pt idx="0">
                  <c:v>EBITDA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Financi'!$C$35:$G$35</c:f>
              <c:numCache>
                <c:formatCode>#,##0</c:formatCode>
                <c:ptCount val="5"/>
                <c:pt idx="0">
                  <c:v>4259780527.8299975</c:v>
                </c:pt>
                <c:pt idx="1">
                  <c:v>5366944559.0700054</c:v>
                </c:pt>
                <c:pt idx="2">
                  <c:v>5136658191.8399992</c:v>
                </c:pt>
                <c:pt idx="3">
                  <c:v>4839588128.6200008</c:v>
                </c:pt>
                <c:pt idx="4">
                  <c:v>3679019298.2599945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CD-45A7-A30E-C464DCB6E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36902511"/>
        <c:axId val="1092425967"/>
      </c:barChart>
      <c:lineChart>
        <c:grouping val="standard"/>
        <c:varyColors val="0"/>
        <c:ser>
          <c:idx val="2"/>
          <c:order val="2"/>
          <c:tx>
            <c:strRef>
              <c:f>'Inductores Operativos y Financi'!$B$36</c:f>
              <c:strCache>
                <c:ptCount val="1"/>
                <c:pt idx="0">
                  <c:v>MARGEN EBITDA  OPERACIONAL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7.2595281306715061E-3"/>
                  <c:y val="-6.92041522491349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CD-45A7-A30E-C464DCB6E057}"/>
                </c:ext>
              </c:extLst>
            </c:dLbl>
            <c:dLbl>
              <c:idx val="1"/>
              <c:layout>
                <c:manualLayout>
                  <c:x val="2.4198427102238799E-3"/>
                  <c:y val="-8.30449826989619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CD-45A7-A30E-C464DCB6E057}"/>
                </c:ext>
              </c:extLst>
            </c:dLbl>
            <c:dLbl>
              <c:idx val="2"/>
              <c:layout>
                <c:manualLayout>
                  <c:x val="-1.4519056261343012E-2"/>
                  <c:y val="-0.1061130334486736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CD-45A7-A30E-C464DCB6E057}"/>
                </c:ext>
              </c:extLst>
            </c:dLbl>
            <c:dLbl>
              <c:idx val="3"/>
              <c:layout>
                <c:manualLayout>
                  <c:x val="-7.2595281306715061E-3"/>
                  <c:y val="-6.45905420991926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FCD-45A7-A30E-C464DCB6E057}"/>
                </c:ext>
              </c:extLst>
            </c:dLbl>
            <c:dLbl>
              <c:idx val="4"/>
              <c:layout>
                <c:manualLayout>
                  <c:x val="2.4198427102236578E-3"/>
                  <c:y val="-8.30449826989619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CD-45A7-A30E-C464DCB6E0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Financi'!$C$36:$G$36</c:f>
              <c:numCache>
                <c:formatCode>0.00%</c:formatCode>
                <c:ptCount val="5"/>
                <c:pt idx="0">
                  <c:v>0.18502680115640602</c:v>
                </c:pt>
                <c:pt idx="1">
                  <c:v>0.20041006104263059</c:v>
                </c:pt>
                <c:pt idx="2">
                  <c:v>0.15657397501301731</c:v>
                </c:pt>
                <c:pt idx="3">
                  <c:v>0.10026504173714346</c:v>
                </c:pt>
                <c:pt idx="4">
                  <c:v>7.1971882870185105E-2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CD-45A7-A30E-C464DCB6E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629327"/>
        <c:axId val="937849487"/>
      </c:lineChart>
      <c:catAx>
        <c:axId val="936902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2425967"/>
        <c:crosses val="autoZero"/>
        <c:auto val="1"/>
        <c:lblAlgn val="ctr"/>
        <c:lblOffset val="100"/>
        <c:noMultiLvlLbl val="0"/>
      </c:catAx>
      <c:valAx>
        <c:axId val="1092425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36902511"/>
        <c:crosses val="autoZero"/>
        <c:crossBetween val="between"/>
      </c:valAx>
      <c:valAx>
        <c:axId val="937849487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54629327"/>
        <c:crosses val="max"/>
        <c:crossBetween val="between"/>
      </c:valAx>
      <c:catAx>
        <c:axId val="55462932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378494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MARGEN EBITDA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'Inductores Operativos y Financi'!$B$34</c:f>
              <c:strCache>
                <c:ptCount val="1"/>
                <c:pt idx="0">
                  <c:v>Ventas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Financi'!$C$34:$G$34</c:f>
              <c:numCache>
                <c:formatCode>#,##0</c:formatCode>
                <c:ptCount val="5"/>
                <c:pt idx="0">
                  <c:v>23022505394.929996</c:v>
                </c:pt>
                <c:pt idx="1">
                  <c:v>26779815999</c:v>
                </c:pt>
                <c:pt idx="2">
                  <c:v>32806589929.220009</c:v>
                </c:pt>
                <c:pt idx="3">
                  <c:v>48267951070.199997</c:v>
                </c:pt>
                <c:pt idx="4">
                  <c:v>51117452420.909996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A1-454E-A42A-F4B02FC42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7399423"/>
        <c:axId val="1091688031"/>
      </c:lineChart>
      <c:lineChart>
        <c:grouping val="standard"/>
        <c:varyColors val="0"/>
        <c:ser>
          <c:idx val="1"/>
          <c:order val="1"/>
          <c:tx>
            <c:strRef>
              <c:f>'Inductores Operativos y Financi'!$B$36</c:f>
              <c:strCache>
                <c:ptCount val="1"/>
                <c:pt idx="0">
                  <c:v>MARGEN EBITDA  OPERACIONAL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'Inductores Operativos y Financi'!$C$36:$G$36</c:f>
              <c:numCache>
                <c:formatCode>0.00%</c:formatCode>
                <c:ptCount val="5"/>
                <c:pt idx="0">
                  <c:v>0.18502680115640602</c:v>
                </c:pt>
                <c:pt idx="1">
                  <c:v>0.20041006104263059</c:v>
                </c:pt>
                <c:pt idx="2">
                  <c:v>0.15657397501301731</c:v>
                </c:pt>
                <c:pt idx="3">
                  <c:v>0.10026504173714346</c:v>
                </c:pt>
                <c:pt idx="4">
                  <c:v>7.1971882870185105E-2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A1-454E-A42A-F4B02FC42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715311"/>
        <c:axId val="933130815"/>
      </c:lineChart>
      <c:catAx>
        <c:axId val="1087399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1688031"/>
        <c:crosses val="autoZero"/>
        <c:auto val="1"/>
        <c:lblAlgn val="ctr"/>
        <c:lblOffset val="100"/>
        <c:noMultiLvlLbl val="0"/>
      </c:catAx>
      <c:valAx>
        <c:axId val="1091688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7399423"/>
        <c:crosses val="autoZero"/>
        <c:crossBetween val="between"/>
      </c:valAx>
      <c:valAx>
        <c:axId val="933130815"/>
        <c:scaling>
          <c:orientation val="minMax"/>
          <c:max val="0.30000000000000004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58715311"/>
        <c:crosses val="max"/>
        <c:crossBetween val="between"/>
      </c:valAx>
      <c:catAx>
        <c:axId val="958715311"/>
        <c:scaling>
          <c:orientation val="minMax"/>
        </c:scaling>
        <c:delete val="1"/>
        <c:axPos val="b"/>
        <c:majorTickMark val="none"/>
        <c:minorTickMark val="none"/>
        <c:tickLblPos val="nextTo"/>
        <c:crossAx val="9331308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CXC - INVENTARIOS - CXP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CXC CLIENTES</c:v>
          </c:tx>
          <c:spPr>
            <a:gradFill rotWithShape="1">
              <a:gsLst>
                <a:gs pos="0">
                  <a:schemeClr val="accent5">
                    <a:shade val="65000"/>
                    <a:shade val="51000"/>
                    <a:satMod val="130000"/>
                  </a:schemeClr>
                </a:gs>
                <a:gs pos="80000">
                  <a:schemeClr val="accent5">
                    <a:shade val="65000"/>
                    <a:shade val="93000"/>
                    <a:satMod val="130000"/>
                  </a:schemeClr>
                </a:gs>
                <a:gs pos="100000">
                  <a:schemeClr val="accent5">
                    <a:shade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Financi'!$C$50:$G$50</c:f>
              <c:numCache>
                <c:formatCode>#,##0</c:formatCode>
                <c:ptCount val="5"/>
                <c:pt idx="0">
                  <c:v>11385509735.380001</c:v>
                </c:pt>
                <c:pt idx="1">
                  <c:v>10694903131.379997</c:v>
                </c:pt>
                <c:pt idx="2">
                  <c:v>20055814840.639999</c:v>
                </c:pt>
                <c:pt idx="3">
                  <c:v>25868895297.710007</c:v>
                </c:pt>
                <c:pt idx="4">
                  <c:v>22731466212.569992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69-4A98-B777-A57614E9F3F0}"/>
            </c:ext>
          </c:extLst>
        </c:ser>
        <c:ser>
          <c:idx val="1"/>
          <c:order val="1"/>
          <c:tx>
            <c:v>INVENTARIO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0"/>
                  <c:y val="-6.99588477366255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85-4E88-9727-68636024AAF0}"/>
                </c:ext>
              </c:extLst>
            </c:dLbl>
            <c:dLbl>
              <c:idx val="1"/>
              <c:layout>
                <c:manualLayout>
                  <c:x val="-4.44439310243607E-17"/>
                  <c:y val="-4.11522633744856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285-4E88-9727-68636024AAF0}"/>
                </c:ext>
              </c:extLst>
            </c:dLbl>
            <c:dLbl>
              <c:idx val="2"/>
              <c:layout>
                <c:manualLayout>
                  <c:x val="0"/>
                  <c:y val="-3.70370370370370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285-4E88-9727-68636024AAF0}"/>
                </c:ext>
              </c:extLst>
            </c:dLbl>
            <c:dLbl>
              <c:idx val="3"/>
              <c:layout>
                <c:manualLayout>
                  <c:x val="0"/>
                  <c:y val="-4.11522633744855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285-4E88-9727-68636024AAF0}"/>
                </c:ext>
              </c:extLst>
            </c:dLbl>
            <c:dLbl>
              <c:idx val="4"/>
              <c:layout>
                <c:manualLayout>
                  <c:x val="0"/>
                  <c:y val="-4.93827160493827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285-4E88-9727-68636024AA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Financi'!$C$51:$G$51</c:f>
              <c:numCache>
                <c:formatCode>#,##0</c:formatCode>
                <c:ptCount val="5"/>
                <c:pt idx="0">
                  <c:v>2473248785.8400002</c:v>
                </c:pt>
                <c:pt idx="1">
                  <c:v>2535358837.8000007</c:v>
                </c:pt>
                <c:pt idx="2">
                  <c:v>2815452942.3699999</c:v>
                </c:pt>
                <c:pt idx="3">
                  <c:v>8577058239.7800007</c:v>
                </c:pt>
                <c:pt idx="4">
                  <c:v>21630543917.52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69-4A98-B777-A57614E9F3F0}"/>
            </c:ext>
          </c:extLst>
        </c:ser>
        <c:ser>
          <c:idx val="2"/>
          <c:order val="2"/>
          <c:tx>
            <c:v>CXP PROV</c:v>
          </c:tx>
          <c:spPr>
            <a:gradFill rotWithShape="1">
              <a:gsLst>
                <a:gs pos="0">
                  <a:schemeClr val="accent5">
                    <a:tint val="65000"/>
                    <a:shade val="51000"/>
                    <a:satMod val="130000"/>
                  </a:schemeClr>
                </a:gs>
                <a:gs pos="80000">
                  <a:schemeClr val="accent5">
                    <a:tint val="65000"/>
                    <a:shade val="93000"/>
                    <a:satMod val="130000"/>
                  </a:schemeClr>
                </a:gs>
                <a:gs pos="100000">
                  <a:schemeClr val="accent5">
                    <a:tint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2.4242424242424464E-3"/>
                  <c:y val="-4.52674897119341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285-4E88-9727-68636024AAF0}"/>
                </c:ext>
              </c:extLst>
            </c:dLbl>
            <c:dLbl>
              <c:idx val="1"/>
              <c:layout>
                <c:manualLayout>
                  <c:x val="-4.44439310243607E-17"/>
                  <c:y val="-3.2921810699588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85-4E88-9727-68636024AAF0}"/>
                </c:ext>
              </c:extLst>
            </c:dLbl>
            <c:dLbl>
              <c:idx val="2"/>
              <c:layout>
                <c:manualLayout>
                  <c:x val="0"/>
                  <c:y val="-2.46913580246913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285-4E88-9727-68636024AA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Financi'!$C$55:$G$55</c:f>
              <c:numCache>
                <c:formatCode>_-* #,##0\ _€_-;\-* #,##0\ _€_-;_-* "-"??\ _€_-;_-@_-</c:formatCode>
                <c:ptCount val="5"/>
                <c:pt idx="0">
                  <c:v>-4434916898</c:v>
                </c:pt>
                <c:pt idx="1">
                  <c:v>-4724854964.2700005</c:v>
                </c:pt>
                <c:pt idx="2">
                  <c:v>-12411325133.240004</c:v>
                </c:pt>
                <c:pt idx="3">
                  <c:v>-31859233808.339993</c:v>
                </c:pt>
                <c:pt idx="4">
                  <c:v>-57190679522.930008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69-4A98-B777-A57614E9F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3088543"/>
        <c:axId val="1087343263"/>
      </c:barChart>
      <c:catAx>
        <c:axId val="1163088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7343263"/>
        <c:crosses val="autoZero"/>
        <c:auto val="1"/>
        <c:lblAlgn val="ctr"/>
        <c:lblOffset val="100"/>
        <c:noMultiLvlLbl val="0"/>
      </c:catAx>
      <c:valAx>
        <c:axId val="1087343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30885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'Inductores Operativos y Financi'!$B$66</c:f>
              <c:strCache>
                <c:ptCount val="1"/>
                <c:pt idx="0">
                  <c:v>PKT Centavos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Financi'!$C$66:$G$66</c:f>
              <c:numCache>
                <c:formatCode>_-* #,##0.00\ _€_-;\-* #,##0.00\ _€_-;_-* "-"??\ _€_-;_-@_-</c:formatCode>
                <c:ptCount val="5"/>
                <c:pt idx="0">
                  <c:v>0.40933171527436429</c:v>
                </c:pt>
                <c:pt idx="1">
                  <c:v>0.31760513235892296</c:v>
                </c:pt>
                <c:pt idx="2">
                  <c:v>0.31883663228446629</c:v>
                </c:pt>
                <c:pt idx="3">
                  <c:v>5.3590833499187411E-2</c:v>
                </c:pt>
                <c:pt idx="4">
                  <c:v>-0.25096456856273891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5B-45AD-9CD8-0542258CF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303823071"/>
        <c:axId val="1109058207"/>
      </c:barChart>
      <c:catAx>
        <c:axId val="130382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9058207"/>
        <c:crosses val="autoZero"/>
        <c:auto val="1"/>
        <c:lblAlgn val="ctr"/>
        <c:lblOffset val="100"/>
        <c:noMultiLvlLbl val="0"/>
      </c:catAx>
      <c:valAx>
        <c:axId val="1109058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.00\ _€_-;\-* #,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03823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ACTIVOS FIJOS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'Inductores Operativos y Financi'!$B$81</c:f>
              <c:strCache>
                <c:ptCount val="1"/>
                <c:pt idx="0">
                  <c:v>Activos Fijos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Financi'!$C$81:$G$81</c:f>
              <c:numCache>
                <c:formatCode>_-* #,##0\ _€_-;\-* #,##0\ _€_-;_-* "-"??\ _€_-;_-@_-</c:formatCode>
                <c:ptCount val="5"/>
                <c:pt idx="0">
                  <c:v>8863280753.7800007</c:v>
                </c:pt>
                <c:pt idx="1">
                  <c:v>8259711192.4274998</c:v>
                </c:pt>
                <c:pt idx="2">
                  <c:v>7857112029.8400002</c:v>
                </c:pt>
                <c:pt idx="3">
                  <c:v>7949091527.6599998</c:v>
                </c:pt>
                <c:pt idx="4">
                  <c:v>7813014062.4299994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84-4251-B924-111891D6AF19}"/>
            </c:ext>
          </c:extLst>
        </c:ser>
        <c:ser>
          <c:idx val="0"/>
          <c:order val="1"/>
          <c:tx>
            <c:strRef>
              <c:f>'Inductores Operativos y Financi'!$B$80</c:f>
              <c:strCache>
                <c:ptCount val="1"/>
                <c:pt idx="0">
                  <c:v>Ventas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Financi'!$C$80:$G$80</c:f>
              <c:numCache>
                <c:formatCode>#,##0</c:formatCode>
                <c:ptCount val="5"/>
                <c:pt idx="0">
                  <c:v>23022505394.929996</c:v>
                </c:pt>
                <c:pt idx="1">
                  <c:v>26779815999</c:v>
                </c:pt>
                <c:pt idx="2">
                  <c:v>32806589929.220009</c:v>
                </c:pt>
                <c:pt idx="3">
                  <c:v>48267951070.199997</c:v>
                </c:pt>
                <c:pt idx="4">
                  <c:v>51117452420.909996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84-4251-B924-111891D6AF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167327679"/>
        <c:axId val="1109884719"/>
      </c:barChart>
      <c:catAx>
        <c:axId val="11673276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09884719"/>
        <c:crosses val="autoZero"/>
        <c:auto val="1"/>
        <c:lblAlgn val="ctr"/>
        <c:lblOffset val="100"/>
        <c:noMultiLvlLbl val="0"/>
      </c:catAx>
      <c:valAx>
        <c:axId val="1109884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\ _€_-;\-* #,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7327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593154855643045"/>
          <c:y val="0.1550261233019854"/>
          <c:w val="0.85473511811023617"/>
          <c:h val="0.74801142020256872"/>
        </c:manualLayout>
      </c:layout>
      <c:lineChart>
        <c:grouping val="standard"/>
        <c:varyColors val="0"/>
        <c:ser>
          <c:idx val="0"/>
          <c:order val="0"/>
          <c:tx>
            <c:strRef>
              <c:f>'Inductores Operativos y Financi'!$B$82</c:f>
              <c:strCache>
                <c:ptCount val="1"/>
                <c:pt idx="0">
                  <c:v>PAF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2.6666666666666666E-3"/>
                  <c:y val="3.3437826541274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983-4B34-A6E9-4074EE0DE918}"/>
                </c:ext>
              </c:extLst>
            </c:dLbl>
            <c:dLbl>
              <c:idx val="1"/>
              <c:layout>
                <c:manualLayout>
                  <c:x val="0"/>
                  <c:y val="3.34378265412749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983-4B34-A6E9-4074EE0DE918}"/>
                </c:ext>
              </c:extLst>
            </c:dLbl>
            <c:dLbl>
              <c:idx val="2"/>
              <c:layout>
                <c:manualLayout>
                  <c:x val="0"/>
                  <c:y val="1.67189132706374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983-4B34-A6E9-4074EE0DE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Financi'!$C$82:$G$82</c:f>
              <c:numCache>
                <c:formatCode>_-* #,##0.00\ _€_-;\-* #,##0.00\ _€_-;_-* "-"??\ _€_-;_-@_-</c:formatCode>
                <c:ptCount val="5"/>
                <c:pt idx="0">
                  <c:v>2.5975150775982572</c:v>
                </c:pt>
                <c:pt idx="1">
                  <c:v>3.2422218374356389</c:v>
                </c:pt>
                <c:pt idx="2">
                  <c:v>4.1754005548891318</c:v>
                </c:pt>
                <c:pt idx="3">
                  <c:v>6.0721342687079103</c:v>
                </c:pt>
                <c:pt idx="4">
                  <c:v>6.5426034066309455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A9-4BB6-A104-2B7D6F572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8795727"/>
        <c:axId val="1168804015"/>
      </c:lineChart>
      <c:catAx>
        <c:axId val="1168795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8804015"/>
        <c:crosses val="autoZero"/>
        <c:auto val="1"/>
        <c:lblAlgn val="ctr"/>
        <c:lblOffset val="100"/>
        <c:noMultiLvlLbl val="0"/>
      </c:catAx>
      <c:valAx>
        <c:axId val="1168804015"/>
        <c:scaling>
          <c:orientation val="minMax"/>
          <c:max val="7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.00\ _€_-;\-* #,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8795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'Inductores Operativos y Financi'!$B$98</c:f>
              <c:strCache>
                <c:ptCount val="1"/>
                <c:pt idx="0">
                  <c:v>PDC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Financi'!$C$98:$G$98</c:f>
              <c:numCache>
                <c:formatCode>_-* #,##0.00\ _€_-;\-* #,##0.00\ _€_-;_-* "-"??\ _€_-;_-@_-</c:formatCode>
                <c:ptCount val="5"/>
                <c:pt idx="0">
                  <c:v>0.45202165933413541</c:v>
                </c:pt>
                <c:pt idx="1">
                  <c:v>0.63100384919519759</c:v>
                </c:pt>
                <c:pt idx="2">
                  <c:v>0.49107900146593536</c:v>
                </c:pt>
                <c:pt idx="3">
                  <c:v>1.8709364118896146</c:v>
                </c:pt>
                <c:pt idx="4">
                  <c:v>-0.28678105153394501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AF-4318-BCDD-9F6913831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2463791"/>
        <c:axId val="937776415"/>
      </c:lineChart>
      <c:catAx>
        <c:axId val="92246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37776415"/>
        <c:crosses val="autoZero"/>
        <c:auto val="1"/>
        <c:lblAlgn val="ctr"/>
        <c:lblOffset val="100"/>
        <c:noMultiLvlLbl val="0"/>
      </c:catAx>
      <c:valAx>
        <c:axId val="937776415"/>
        <c:scaling>
          <c:orientation val="minMax"/>
          <c:max val="2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.00\ _€_-;\-* #,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2246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'Flujo de Caja'!$B$13</c:f>
              <c:strCache>
                <c:ptCount val="1"/>
                <c:pt idx="0">
                  <c:v>FLUJO DE CAJA LIBRE (FCL)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'Estados Financieros'!$C$9:$G$9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'Flujo de Caja'!$C$13:$G$13</c:f>
              <c:numCache>
                <c:formatCode>_(* #,##0_);_(* \(#,##0\);_(* "-"_);_(@_)</c:formatCode>
                <c:ptCount val="5"/>
                <c:pt idx="0">
                  <c:v>3600220477.6399975</c:v>
                </c:pt>
                <c:pt idx="1">
                  <c:v>5731113826.4093056</c:v>
                </c:pt>
                <c:pt idx="2">
                  <c:v>2284470709.5675025</c:v>
                </c:pt>
                <c:pt idx="3">
                  <c:v>10657874326.749983</c:v>
                </c:pt>
                <c:pt idx="4">
                  <c:v>17361392192.79002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4E-42E3-A81A-F9079E7B4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45153343"/>
        <c:axId val="1797536975"/>
      </c:lineChart>
      <c:catAx>
        <c:axId val="2045153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97536975"/>
        <c:crosses val="autoZero"/>
        <c:auto val="1"/>
        <c:lblAlgn val="ctr"/>
        <c:lblOffset val="100"/>
        <c:noMultiLvlLbl val="0"/>
      </c:catAx>
      <c:valAx>
        <c:axId val="17975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51533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CONCENTRACION ENDEUDAMIENTO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9DC4-4A31-ADA5-19079BBC77B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9DC4-4A31-ADA5-19079BBC77B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'Razones Financieras'!$B$23:$B$24</c:f>
              <c:strCache>
                <c:ptCount val="2"/>
                <c:pt idx="0">
                  <c:v>Concentracion de Endeudamiento a Corto Plazo</c:v>
                </c:pt>
                <c:pt idx="1">
                  <c:v>Concentracion de Endeudamiento a Largo Plazo</c:v>
                </c:pt>
              </c:strCache>
            </c:strRef>
          </c:cat>
          <c:val>
            <c:numRef>
              <c:f>'Razones Financieras'!$G$23:$G$24</c:f>
              <c:numCache>
                <c:formatCode>0.00%</c:formatCode>
                <c:ptCount val="2"/>
                <c:pt idx="0">
                  <c:v>0.74881260889089341</c:v>
                </c:pt>
                <c:pt idx="1">
                  <c:v>0.25118739110910659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C4-4A31-ADA5-19079BBC77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CONCENTRACION ENDEUDAMIENTO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7BE3-4B9D-B9DF-0BA64F9BC17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7BE3-4B9D-B9DF-0BA64F9BC1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'Razones Financieras'!$B$23:$B$24</c:f>
              <c:strCache>
                <c:ptCount val="2"/>
                <c:pt idx="0">
                  <c:v>Concentracion de Endeudamiento a Corto Plazo</c:v>
                </c:pt>
                <c:pt idx="1">
                  <c:v>Concentracion de Endeudamiento a Largo Plazo</c:v>
                </c:pt>
              </c:strCache>
            </c:strRef>
          </c:cat>
          <c:val>
            <c:numRef>
              <c:f>'Razones Financieras'!$F$23:$F$24</c:f>
              <c:numCache>
                <c:formatCode>0.00%</c:formatCode>
                <c:ptCount val="2"/>
                <c:pt idx="0">
                  <c:v>0.62674082353718552</c:v>
                </c:pt>
                <c:pt idx="1">
                  <c:v>0.37325917646281453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E3-4B9D-B9DF-0BA64F9BC1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2"/>
          <c:order val="2"/>
          <c:tx>
            <c:strRef>
              <c:f>'Razones Financieras'!$B$16</c:f>
              <c:strCache>
                <c:ptCount val="1"/>
                <c:pt idx="0">
                  <c:v>Razon Corriente</c:v>
                </c:pt>
              </c:strCache>
            </c:strRef>
          </c:tx>
          <c:spPr>
            <a:solidFill>
              <a:schemeClr val="accent3">
                <a:alpha val="88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3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9BBB59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'Razones Financieras'!$C$14:$G$14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'Razones Financieras'!$C$16:$G$16</c:f>
              <c:numCache>
                <c:formatCode>_-* #,##0.00\ _€_-;\-* #,##0.00\ _€_-;_-* "-"??\ _€_-;_-@_-</c:formatCode>
                <c:ptCount val="5"/>
                <c:pt idx="0">
                  <c:v>1.8860475060902469</c:v>
                </c:pt>
                <c:pt idx="1">
                  <c:v>1.913118336480724</c:v>
                </c:pt>
                <c:pt idx="2">
                  <c:v>1.5917255047763881</c:v>
                </c:pt>
                <c:pt idx="3">
                  <c:v>1.2339178631869478</c:v>
                </c:pt>
                <c:pt idx="4">
                  <c:v>1.0968810188093825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36-4EFD-971D-61CC1871E2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672953087"/>
        <c:axId val="167294975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'Razones Financieras'!$B$14</c15:sqref>
                        </c15:formulaRef>
                      </c:ext>
                    </c:extLst>
                    <c:strCache>
                      <c:ptCount val="1"/>
                      <c:pt idx="0">
                        <c:v>Liquidez</c:v>
                      </c:pt>
                    </c:strCache>
                  </c:strRef>
                </c:tx>
                <c:spPr>
                  <a:solidFill>
                    <a:schemeClr val="accent1">
                      <a:alpha val="88000"/>
                    </a:schemeClr>
                  </a:solidFill>
                  <a:ln>
                    <a:solidFill>
                      <a:schemeClr val="accent1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1">
                        <a:lumMod val="50000"/>
                      </a:schemeClr>
                    </a:contourClr>
                  </a:sp3d>
                </c:spPr>
                <c:invertIfNegative val="0"/>
                <c:dLbls>
                  <c:spPr>
                    <a:solidFill>
                      <a:schemeClr val="accent1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36-4EFD-971D-61CC1871E25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Financieras'!$B$15</c15:sqref>
                        </c15:formulaRef>
                      </c:ext>
                    </c:extLst>
                    <c:strCache>
                      <c:ptCount val="1"/>
                      <c:pt idx="0">
                        <c:v>Capital de Trabajo</c:v>
                      </c:pt>
                    </c:strCache>
                  </c:strRef>
                </c:tx>
                <c:spPr>
                  <a:solidFill>
                    <a:schemeClr val="accent2">
                      <a:alpha val="88000"/>
                    </a:schemeClr>
                  </a:solidFill>
                  <a:ln>
                    <a:solidFill>
                      <a:schemeClr val="accent2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2">
                        <a:lumMod val="50000"/>
                      </a:schemeClr>
                    </a:contourClr>
                  </a:sp3d>
                </c:spPr>
                <c:invertIfNegative val="0"/>
                <c:dLbls>
                  <c:spPr>
                    <a:solidFill>
                      <a:schemeClr val="accent2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Financieras'!$C$15:$G$15</c15:sqref>
                        </c15:formulaRef>
                      </c:ext>
                    </c:extLst>
                    <c:numCache>
                      <c:formatCode>_-* #,##0\ _€_-;\-* #,##0\ _€_-;_-* "-"??\ _€_-;_-@_-</c:formatCode>
                      <c:ptCount val="5"/>
                      <c:pt idx="0">
                        <c:v>6996878910.3300028</c:v>
                      </c:pt>
                      <c:pt idx="1">
                        <c:v>6720819243.9267931</c:v>
                      </c:pt>
                      <c:pt idx="2">
                        <c:v>8878128246.6299934</c:v>
                      </c:pt>
                      <c:pt idx="3">
                        <c:v>7798995794.0200157</c:v>
                      </c:pt>
                      <c:pt idx="4">
                        <c:v>5764450656.7499924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36-4EFD-971D-61CC1871E25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Financieras'!$B$17</c15:sqref>
                        </c15:formulaRef>
                      </c:ext>
                    </c:extLst>
                    <c:strCache>
                      <c:ptCount val="1"/>
                      <c:pt idx="0">
                        <c:v>Prueba Acida</c:v>
                      </c:pt>
                    </c:strCache>
                  </c:strRef>
                </c:tx>
                <c:spPr>
                  <a:solidFill>
                    <a:schemeClr val="accent4">
                      <a:alpha val="88000"/>
                    </a:schemeClr>
                  </a:solidFill>
                  <a:ln>
                    <a:solidFill>
                      <a:schemeClr val="accent4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4">
                        <a:lumMod val="50000"/>
                      </a:schemeClr>
                    </a:contourClr>
                  </a:sp3d>
                </c:spPr>
                <c:invertIfNegative val="0"/>
                <c:dLbls>
                  <c:spPr>
                    <a:solidFill>
                      <a:schemeClr val="accent4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Financieras'!$C$17:$G$17</c15:sqref>
                        </c15:formulaRef>
                      </c:ext>
                    </c:extLst>
                    <c:numCache>
                      <c:formatCode>_-* #,##0.00\ _€_-;\-* #,##0.00\ _€_-;_-* "-"??\ _€_-;_-@_-</c:formatCode>
                      <c:ptCount val="5"/>
                      <c:pt idx="0">
                        <c:v>1.5728484430910408</c:v>
                      </c:pt>
                      <c:pt idx="1">
                        <c:v>1.5686539846912242</c:v>
                      </c:pt>
                      <c:pt idx="2">
                        <c:v>1.4040761188677722</c:v>
                      </c:pt>
                      <c:pt idx="3">
                        <c:v>0.97666331543892626</c:v>
                      </c:pt>
                      <c:pt idx="4">
                        <c:v>0.73334435991257008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36-4EFD-971D-61CC1871E252}"/>
                  </c:ext>
                </c:extLst>
              </c15:ser>
            </c15:filteredBarSeries>
          </c:ext>
        </c:extLst>
      </c:bar3DChart>
      <c:catAx>
        <c:axId val="1672953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49759"/>
        <c:crosses val="autoZero"/>
        <c:auto val="1"/>
        <c:lblAlgn val="ctr"/>
        <c:lblOffset val="100"/>
        <c:noMultiLvlLbl val="0"/>
      </c:catAx>
      <c:valAx>
        <c:axId val="1672949759"/>
        <c:scaling>
          <c:orientation val="minMax"/>
        </c:scaling>
        <c:delete val="0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_-* #,##0.00\ _€_-;\-* #,##0.00\ _€_-;_-* &quot;-&quot;??\ _€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530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Capital NETO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'Razones Financieras'!$B$15</c:f>
              <c:strCache>
                <c:ptCount val="1"/>
                <c:pt idx="0">
                  <c:v>Capital de Trabajo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C0504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'Razones Financieras'!$C$14:$G$14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  <c:extLst xmlns:c15="http://schemas.microsoft.com/office/drawing/2012/chart"/>
            </c:numRef>
          </c:cat>
          <c:val>
            <c:numRef>
              <c:f>'Razones Financieras'!$C$15:$G$15</c:f>
              <c:numCache>
                <c:formatCode>_-* #,##0\ _€_-;\-* #,##0\ _€_-;_-* "-"??\ _€_-;_-@_-</c:formatCode>
                <c:ptCount val="5"/>
                <c:pt idx="0">
                  <c:v>6996878910.3300028</c:v>
                </c:pt>
                <c:pt idx="1">
                  <c:v>6720819243.9267931</c:v>
                </c:pt>
                <c:pt idx="2">
                  <c:v>8878128246.6299934</c:v>
                </c:pt>
                <c:pt idx="3">
                  <c:v>7798995794.0200157</c:v>
                </c:pt>
                <c:pt idx="4">
                  <c:v>5764450656.7499924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2-E776-4524-BA16-4F181A0A118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672953087"/>
        <c:axId val="167294975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'Razones Financieras'!$B$14</c15:sqref>
                        </c15:formulaRef>
                      </c:ext>
                    </c:extLst>
                    <c:strCache>
                      <c:ptCount val="1"/>
                      <c:pt idx="0">
                        <c:v>Liquidez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1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E776-4524-BA16-4F181A0A1183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Financieras'!$B$16</c15:sqref>
                        </c15:formulaRef>
                      </c:ext>
                    </c:extLst>
                    <c:strCache>
                      <c:ptCount val="1"/>
                      <c:pt idx="0">
                        <c:v>Razon Corriente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Financieras'!$C$16:$G$16</c15:sqref>
                        </c15:formulaRef>
                      </c:ext>
                    </c:extLst>
                    <c:numCache>
                      <c:formatCode>_-* #,##0.00\ _€_-;\-* #,##0.00\ _€_-;_-* "-"??\ _€_-;_-@_-</c:formatCode>
                      <c:ptCount val="5"/>
                      <c:pt idx="0">
                        <c:v>1.8860475060902469</c:v>
                      </c:pt>
                      <c:pt idx="1">
                        <c:v>1.913118336480724</c:v>
                      </c:pt>
                      <c:pt idx="2">
                        <c:v>1.5917255047763881</c:v>
                      </c:pt>
                      <c:pt idx="3">
                        <c:v>1.2339178631869478</c:v>
                      </c:pt>
                      <c:pt idx="4">
                        <c:v>1.0968810188093825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776-4524-BA16-4F181A0A118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Financieras'!$B$17</c15:sqref>
                        </c15:formulaRef>
                      </c:ext>
                    </c:extLst>
                    <c:strCache>
                      <c:ptCount val="1"/>
                      <c:pt idx="0">
                        <c:v>Prueba Acida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4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Financieras'!$C$17:$G$17</c15:sqref>
                        </c15:formulaRef>
                      </c:ext>
                    </c:extLst>
                    <c:numCache>
                      <c:formatCode>_-* #,##0.00\ _€_-;\-* #,##0.00\ _€_-;_-* "-"??\ _€_-;_-@_-</c:formatCode>
                      <c:ptCount val="5"/>
                      <c:pt idx="0">
                        <c:v>1.5728484430910408</c:v>
                      </c:pt>
                      <c:pt idx="1">
                        <c:v>1.5686539846912242</c:v>
                      </c:pt>
                      <c:pt idx="2">
                        <c:v>1.4040761188677722</c:v>
                      </c:pt>
                      <c:pt idx="3">
                        <c:v>0.97666331543892626</c:v>
                      </c:pt>
                      <c:pt idx="4">
                        <c:v>0.73334435991257008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776-4524-BA16-4F181A0A1183}"/>
                  </c:ext>
                </c:extLst>
              </c15:ser>
            </c15:filteredLineSeries>
          </c:ext>
        </c:extLst>
      </c:lineChart>
      <c:catAx>
        <c:axId val="1672953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49759"/>
        <c:crosses val="autoZero"/>
        <c:auto val="1"/>
        <c:lblAlgn val="ctr"/>
        <c:lblOffset val="100"/>
        <c:noMultiLvlLbl val="0"/>
      </c:catAx>
      <c:valAx>
        <c:axId val="1672949759"/>
        <c:scaling>
          <c:orientation val="minMax"/>
        </c:scaling>
        <c:delete val="0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_-* #,##0\ _€_-;\-* #,##0\ _€_-;_-* &quot;-&quot;??\ _€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530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strRef>
              <c:f>'Razones Financieras'!$B$17</c:f>
              <c:strCache>
                <c:ptCount val="1"/>
                <c:pt idx="0">
                  <c:v>Prueba Acida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4"/>
              </a:solidFill>
              <a:ln w="9525">
                <a:solidFill>
                  <a:schemeClr val="dk1">
                    <a:lumMod val="75000"/>
                    <a:lumOff val="25000"/>
                  </a:schemeClr>
                </a:solidFill>
              </a:ln>
              <a:effectLst/>
            </c:spPr>
          </c:marker>
          <c:dLbls>
            <c:spPr>
              <a:solidFill>
                <a:srgbClr val="8064A2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'Razones Financieras'!$C$14:$G$14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  <c:extLst xmlns:c15="http://schemas.microsoft.com/office/drawing/2012/chart"/>
            </c:numRef>
          </c:cat>
          <c:val>
            <c:numRef>
              <c:f>'Razones Financieras'!$C$17:$G$17</c:f>
              <c:numCache>
                <c:formatCode>_-* #,##0.00\ _€_-;\-* #,##0.00\ _€_-;_-* "-"??\ _€_-;_-@_-</c:formatCode>
                <c:ptCount val="5"/>
                <c:pt idx="0">
                  <c:v>1.5728484430910408</c:v>
                </c:pt>
                <c:pt idx="1">
                  <c:v>1.5686539846912242</c:v>
                </c:pt>
                <c:pt idx="2">
                  <c:v>1.4040761188677722</c:v>
                </c:pt>
                <c:pt idx="3">
                  <c:v>0.97666331543892626</c:v>
                </c:pt>
                <c:pt idx="4">
                  <c:v>0.73334435991257008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3-447B-4224-83A0-BE4E55468D9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72953087"/>
        <c:axId val="167294975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'Razones Financieras'!$B$14</c15:sqref>
                        </c15:formulaRef>
                      </c:ext>
                    </c:extLst>
                    <c:strCache>
                      <c:ptCount val="1"/>
                      <c:pt idx="0">
                        <c:v>Liquidez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6"/>
                  <c:spPr>
                    <a:solidFill>
                      <a:schemeClr val="accent1"/>
                    </a:solidFill>
                    <a:ln w="9525">
                      <a:solidFill>
                        <a:schemeClr val="dk1">
                          <a:lumMod val="75000"/>
                          <a:lumOff val="25000"/>
                        </a:schemeClr>
                      </a:solidFill>
                    </a:ln>
                    <a:effectLst/>
                  </c:spPr>
                </c:marker>
                <c:dLbls>
                  <c:spPr>
                    <a:solidFill>
                      <a:schemeClr val="accent1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47B-4224-83A0-BE4E55468D9B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Financieras'!$B$15</c15:sqref>
                        </c15:formulaRef>
                      </c:ext>
                    </c:extLst>
                    <c:strCache>
                      <c:ptCount val="1"/>
                      <c:pt idx="0">
                        <c:v>Capital de Trabajo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6"/>
                  <c:spPr>
                    <a:solidFill>
                      <a:schemeClr val="accent2"/>
                    </a:solidFill>
                    <a:ln w="9525">
                      <a:solidFill>
                        <a:schemeClr val="dk1">
                          <a:lumMod val="75000"/>
                          <a:lumOff val="25000"/>
                        </a:schemeClr>
                      </a:solidFill>
                    </a:ln>
                    <a:effectLst/>
                  </c:spPr>
                </c:marker>
                <c:dLbls>
                  <c:spPr>
                    <a:solidFill>
                      <a:schemeClr val="accent2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Financieras'!$C$15:$G$15</c15:sqref>
                        </c15:formulaRef>
                      </c:ext>
                    </c:extLst>
                    <c:numCache>
                      <c:formatCode>_-* #,##0\ _€_-;\-* #,##0\ _€_-;_-* "-"??\ _€_-;_-@_-</c:formatCode>
                      <c:ptCount val="5"/>
                      <c:pt idx="0">
                        <c:v>6996878910.3300028</c:v>
                      </c:pt>
                      <c:pt idx="1">
                        <c:v>6720819243.9267931</c:v>
                      </c:pt>
                      <c:pt idx="2">
                        <c:v>8878128246.6299934</c:v>
                      </c:pt>
                      <c:pt idx="3">
                        <c:v>7798995794.0200157</c:v>
                      </c:pt>
                      <c:pt idx="4">
                        <c:v>5764450656.7499924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47B-4224-83A0-BE4E55468D9B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Financieras'!$B$16</c15:sqref>
                        </c15:formulaRef>
                      </c:ext>
                    </c:extLst>
                    <c:strCache>
                      <c:ptCount val="1"/>
                      <c:pt idx="0">
                        <c:v>Razon Corriente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6"/>
                  <c:spPr>
                    <a:solidFill>
                      <a:schemeClr val="accent3"/>
                    </a:solidFill>
                    <a:ln w="9525">
                      <a:solidFill>
                        <a:schemeClr val="dk1">
                          <a:lumMod val="75000"/>
                          <a:lumOff val="25000"/>
                        </a:schemeClr>
                      </a:solidFill>
                    </a:ln>
                    <a:effectLst/>
                  </c:spPr>
                </c:marker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Financieras'!$C$16:$G$16</c15:sqref>
                        </c15:formulaRef>
                      </c:ext>
                    </c:extLst>
                    <c:numCache>
                      <c:formatCode>_-* #,##0.00\ _€_-;\-* #,##0.00\ _€_-;_-* "-"??\ _€_-;_-@_-</c:formatCode>
                      <c:ptCount val="5"/>
                      <c:pt idx="0">
                        <c:v>1.8860475060902469</c:v>
                      </c:pt>
                      <c:pt idx="1">
                        <c:v>1.913118336480724</c:v>
                      </c:pt>
                      <c:pt idx="2">
                        <c:v>1.5917255047763881</c:v>
                      </c:pt>
                      <c:pt idx="3">
                        <c:v>1.2339178631869478</c:v>
                      </c:pt>
                      <c:pt idx="4">
                        <c:v>1.0968810188093825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447B-4224-83A0-BE4E55468D9B}"/>
                  </c:ext>
                </c:extLst>
              </c15:ser>
            </c15:filteredLineSeries>
          </c:ext>
        </c:extLst>
      </c:lineChart>
      <c:catAx>
        <c:axId val="1672953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49759"/>
        <c:crosses val="autoZero"/>
        <c:auto val="1"/>
        <c:lblAlgn val="ctr"/>
        <c:lblOffset val="100"/>
        <c:noMultiLvlLbl val="0"/>
      </c:catAx>
      <c:valAx>
        <c:axId val="1672949759"/>
        <c:scaling>
          <c:orientation val="minMax"/>
        </c:scaling>
        <c:delete val="0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_-* #,##0.00\ _€_-;\-* #,##0.00\ _€_-;_-* &quot;-&quot;??\ _€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530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rAngAx val="0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4"/>
          <c:order val="4"/>
          <c:tx>
            <c:strRef>
              <c:f>'Razones Financieras'!$B$18</c:f>
              <c:strCache>
                <c:ptCount val="1"/>
                <c:pt idx="0">
                  <c:v>Indice de solidez</c:v>
                </c:pt>
              </c:strCache>
            </c:strRef>
          </c:tx>
          <c:spPr>
            <a:solidFill>
              <a:schemeClr val="accent5">
                <a:alpha val="88000"/>
              </a:schemeClr>
            </a:solidFill>
            <a:ln>
              <a:solidFill>
                <a:schemeClr val="accent5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5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4BACC6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'Razones Financieras'!$C$14:$G$14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'Razones Financieras'!$C$18:$G$18</c:f>
              <c:numCache>
                <c:formatCode>_-* #,##0.00\ _€_-;\-* #,##0.00\ _€_-;_-* "-"??\ _€_-;_-@_-</c:formatCode>
                <c:ptCount val="5"/>
                <c:pt idx="0">
                  <c:v>1.148769185896475</c:v>
                </c:pt>
                <c:pt idx="1">
                  <c:v>1.2253555974025967</c:v>
                </c:pt>
                <c:pt idx="2">
                  <c:v>1.2410144341899261</c:v>
                </c:pt>
                <c:pt idx="3">
                  <c:v>1.1866374124825754</c:v>
                </c:pt>
                <c:pt idx="4">
                  <c:v>1.1331547397732462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534-445C-811D-AD502030110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72953087"/>
        <c:axId val="167294975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'Razones Financieras'!$B$14</c15:sqref>
                        </c15:formulaRef>
                      </c:ext>
                    </c:extLst>
                    <c:strCache>
                      <c:ptCount val="1"/>
                      <c:pt idx="0">
                        <c:v>Liquidez</c:v>
                      </c:pt>
                    </c:strCache>
                  </c:strRef>
                </c:tx>
                <c:spPr>
                  <a:solidFill>
                    <a:schemeClr val="accent1">
                      <a:alpha val="88000"/>
                    </a:schemeClr>
                  </a:solidFill>
                  <a:ln>
                    <a:solidFill>
                      <a:schemeClr val="accent1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1">
                        <a:lumMod val="50000"/>
                      </a:schemeClr>
                    </a:contourClr>
                  </a:sp3d>
                </c:spPr>
                <c:invertIfNegative val="0"/>
                <c:dLbls>
                  <c:spPr>
                    <a:solidFill>
                      <a:schemeClr val="accent1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534-445C-811D-AD502030110F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Financieras'!$B$15</c15:sqref>
                        </c15:formulaRef>
                      </c:ext>
                    </c:extLst>
                    <c:strCache>
                      <c:ptCount val="1"/>
                      <c:pt idx="0">
                        <c:v>Capital de Trabajo</c:v>
                      </c:pt>
                    </c:strCache>
                  </c:strRef>
                </c:tx>
                <c:spPr>
                  <a:solidFill>
                    <a:schemeClr val="accent2">
                      <a:alpha val="88000"/>
                    </a:schemeClr>
                  </a:solidFill>
                  <a:ln>
                    <a:solidFill>
                      <a:schemeClr val="accent2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2">
                        <a:lumMod val="50000"/>
                      </a:schemeClr>
                    </a:contourClr>
                  </a:sp3d>
                </c:spPr>
                <c:invertIfNegative val="0"/>
                <c:dLbls>
                  <c:spPr>
                    <a:solidFill>
                      <a:schemeClr val="accent2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Financieras'!$C$15:$G$15</c15:sqref>
                        </c15:formulaRef>
                      </c:ext>
                    </c:extLst>
                    <c:numCache>
                      <c:formatCode>_-* #,##0\ _€_-;\-* #,##0\ _€_-;_-* "-"??\ _€_-;_-@_-</c:formatCode>
                      <c:ptCount val="5"/>
                      <c:pt idx="0">
                        <c:v>6996878910.3300028</c:v>
                      </c:pt>
                      <c:pt idx="1">
                        <c:v>6720819243.9267931</c:v>
                      </c:pt>
                      <c:pt idx="2">
                        <c:v>8878128246.6299934</c:v>
                      </c:pt>
                      <c:pt idx="3">
                        <c:v>7798995794.0200157</c:v>
                      </c:pt>
                      <c:pt idx="4">
                        <c:v>5764450656.7499924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534-445C-811D-AD502030110F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Financieras'!$B$16</c15:sqref>
                        </c15:formulaRef>
                      </c:ext>
                    </c:extLst>
                    <c:strCache>
                      <c:ptCount val="1"/>
                      <c:pt idx="0">
                        <c:v>Razon Corriente</c:v>
                      </c:pt>
                    </c:strCache>
                  </c:strRef>
                </c:tx>
                <c:spPr>
                  <a:solidFill>
                    <a:schemeClr val="accent3">
                      <a:alpha val="88000"/>
                    </a:schemeClr>
                  </a:solidFill>
                  <a:ln>
                    <a:solidFill>
                      <a:schemeClr val="accent3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3">
                        <a:lumMod val="50000"/>
                      </a:schemeClr>
                    </a:contourClr>
                  </a:sp3d>
                </c:spPr>
                <c:invertIfNegative val="0"/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Financieras'!$C$16:$G$16</c15:sqref>
                        </c15:formulaRef>
                      </c:ext>
                    </c:extLst>
                    <c:numCache>
                      <c:formatCode>_-* #,##0.00\ _€_-;\-* #,##0.00\ _€_-;_-* "-"??\ _€_-;_-@_-</c:formatCode>
                      <c:ptCount val="5"/>
                      <c:pt idx="0">
                        <c:v>1.8860475060902469</c:v>
                      </c:pt>
                      <c:pt idx="1">
                        <c:v>1.913118336480724</c:v>
                      </c:pt>
                      <c:pt idx="2">
                        <c:v>1.5917255047763881</c:v>
                      </c:pt>
                      <c:pt idx="3">
                        <c:v>1.2339178631869478</c:v>
                      </c:pt>
                      <c:pt idx="4">
                        <c:v>1.0968810188093825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534-445C-811D-AD502030110F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Financieras'!$B$17</c15:sqref>
                        </c15:formulaRef>
                      </c:ext>
                    </c:extLst>
                    <c:strCache>
                      <c:ptCount val="1"/>
                      <c:pt idx="0">
                        <c:v>Prueba Acida</c:v>
                      </c:pt>
                    </c:strCache>
                  </c:strRef>
                </c:tx>
                <c:spPr>
                  <a:solidFill>
                    <a:schemeClr val="accent4">
                      <a:alpha val="88000"/>
                    </a:schemeClr>
                  </a:solidFill>
                  <a:ln>
                    <a:solidFill>
                      <a:schemeClr val="accent4">
                        <a:lumMod val="50000"/>
                      </a:schemeClr>
                    </a:solidFill>
                  </a:ln>
                  <a:effectLst/>
                  <a:scene3d>
                    <a:camera prst="orthographicFront"/>
                    <a:lightRig rig="threePt" dir="t"/>
                  </a:scene3d>
                  <a:sp3d prstMaterial="flat">
                    <a:contourClr>
                      <a:schemeClr val="accent4">
                        <a:lumMod val="50000"/>
                      </a:schemeClr>
                    </a:contourClr>
                  </a:sp3d>
                </c:spPr>
                <c:invertIfNegative val="0"/>
                <c:dLbls>
                  <c:spPr>
                    <a:solidFill>
                      <a:srgbClr val="8064A2">
                        <a:alpha val="30000"/>
                      </a:srgbClr>
                    </a:solidFill>
                    <a:ln>
                      <a:solidFill>
                        <a:sysClr val="window" lastClr="FFFFFF">
                          <a:alpha val="50000"/>
                        </a:sys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Financieras'!$C$14:$G$14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Financieras'!$C$17:$G$17</c15:sqref>
                        </c15:formulaRef>
                      </c:ext>
                    </c:extLst>
                    <c:numCache>
                      <c:formatCode>_-* #,##0.00\ _€_-;\-* #,##0.00\ _€_-;_-* "-"??\ _€_-;_-@_-</c:formatCode>
                      <c:ptCount val="5"/>
                      <c:pt idx="0">
                        <c:v>1.5728484430910408</c:v>
                      </c:pt>
                      <c:pt idx="1">
                        <c:v>1.5686539846912242</c:v>
                      </c:pt>
                      <c:pt idx="2">
                        <c:v>1.4040761188677722</c:v>
                      </c:pt>
                      <c:pt idx="3">
                        <c:v>0.97666331543892626</c:v>
                      </c:pt>
                      <c:pt idx="4">
                        <c:v>0.73334435991257008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534-445C-811D-AD502030110F}"/>
                  </c:ext>
                </c:extLst>
              </c15:ser>
            </c15:filteredBarSeries>
          </c:ext>
        </c:extLst>
      </c:bar3DChart>
      <c:catAx>
        <c:axId val="1672953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49759"/>
        <c:crosses val="autoZero"/>
        <c:auto val="1"/>
        <c:lblAlgn val="ctr"/>
        <c:lblOffset val="100"/>
        <c:noMultiLvlLbl val="0"/>
      </c:catAx>
      <c:valAx>
        <c:axId val="1672949759"/>
        <c:scaling>
          <c:orientation val="minMax"/>
        </c:scaling>
        <c:delete val="0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_-* #,##0.00\ _€_-;\-* #,##0.00\ _€_-;_-* &quot;-&quot;??\ _€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530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5"/>
          <c:order val="5"/>
          <c:tx>
            <c:strRef>
              <c:f>'Razones Financieras'!$B$10</c:f>
              <c:strCache>
                <c:ptCount val="1"/>
                <c:pt idx="0">
                  <c:v>ROE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F79646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'Razones Financieras'!$C$5:$G$5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'Razones Financieras'!$C$10:$G$10</c:f>
              <c:numCache>
                <c:formatCode>0.00%</c:formatCode>
                <c:ptCount val="5"/>
                <c:pt idx="0">
                  <c:v>0.40577514640693024</c:v>
                </c:pt>
                <c:pt idx="1">
                  <c:v>0.34112608243670339</c:v>
                </c:pt>
                <c:pt idx="2">
                  <c:v>0.26958102338559564</c:v>
                </c:pt>
                <c:pt idx="3">
                  <c:v>0.14172663436501395</c:v>
                </c:pt>
                <c:pt idx="4">
                  <c:v>6.1610134873488556E-2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E49-4B7E-83AF-F6053242C50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672953087"/>
        <c:axId val="167294975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'Razones Financieras'!$B$5</c15:sqref>
                        </c15:formulaRef>
                      </c:ext>
                    </c:extLst>
                    <c:strCache>
                      <c:ptCount val="1"/>
                      <c:pt idx="0">
                        <c:v>R/I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1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'Razones Financieras'!$C$5:$G$5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'Razones Financieras'!$C$5:$G$5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E49-4B7E-83AF-F6053242C505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Financieras'!$B$6</c15:sqref>
                        </c15:formulaRef>
                      </c:ext>
                    </c:extLst>
                    <c:strCache>
                      <c:ptCount val="1"/>
                      <c:pt idx="0">
                        <c:v>Rentabilidad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2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Financieras'!$C$5:$G$5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Financieras'!$C$6:$G$6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E49-4B7E-83AF-F6053242C505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Financieras'!$B$7</c15:sqref>
                        </c15:formulaRef>
                      </c:ext>
                    </c:extLst>
                    <c:strCache>
                      <c:ptCount val="1"/>
                      <c:pt idx="0">
                        <c:v>Rentabilidad Bruta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rgbClr val="9BBB59">
                        <a:alpha val="30000"/>
                      </a:srgbClr>
                    </a:solidFill>
                    <a:ln>
                      <a:solidFill>
                        <a:sysClr val="window" lastClr="FFFFFF">
                          <a:alpha val="50000"/>
                        </a:sys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Financieras'!$C$5:$G$5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Financieras'!$C$7:$G$7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0.75609791214006683</c:v>
                      </c:pt>
                      <c:pt idx="1">
                        <c:v>0.73213699529384879</c:v>
                      </c:pt>
                      <c:pt idx="2">
                        <c:v>0.65907907841319746</c:v>
                      </c:pt>
                      <c:pt idx="3">
                        <c:v>0.46202145888451096</c:v>
                      </c:pt>
                      <c:pt idx="4">
                        <c:v>0.36319891738160071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FE49-4B7E-83AF-F6053242C505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Financieras'!$B$8</c15:sqref>
                        </c15:formulaRef>
                      </c:ext>
                    </c:extLst>
                    <c:strCache>
                      <c:ptCount val="1"/>
                      <c:pt idx="0">
                        <c:v>Rentabilidad Operacional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4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Financieras'!$C$5:$G$5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Financieras'!$C$8:$G$8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0.14196056254892825</c:v>
                      </c:pt>
                      <c:pt idx="1">
                        <c:v>0.15624797399966278</c:v>
                      </c:pt>
                      <c:pt idx="2">
                        <c:v>0.13915158816412032</c:v>
                      </c:pt>
                      <c:pt idx="3">
                        <c:v>8.988275268428593E-2</c:v>
                      </c:pt>
                      <c:pt idx="4">
                        <c:v>6.9942232159001388E-2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E49-4B7E-83AF-F6053242C505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Financieras'!$B$9</c15:sqref>
                        </c15:formulaRef>
                      </c:ext>
                    </c:extLst>
                    <c:strCache>
                      <c:ptCount val="1"/>
                      <c:pt idx="0">
                        <c:v>Rentabilidad Neta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rgbClr val="4BACC6">
                        <a:alpha val="30000"/>
                      </a:srgbClr>
                    </a:solidFill>
                    <a:ln>
                      <a:solidFill>
                        <a:sysClr val="window" lastClr="FFFFFF">
                          <a:alpha val="50000"/>
                        </a:sys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Financieras'!$C$5:$G$5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'Razones Financieras'!$C$9:$G$9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7.2280122299654595E-2</c:v>
                      </c:pt>
                      <c:pt idx="1">
                        <c:v>7.9285001807838609E-2</c:v>
                      </c:pt>
                      <c:pt idx="2">
                        <c:v>7.0022865955169905E-2</c:v>
                      </c:pt>
                      <c:pt idx="3">
                        <c:v>2.9152689633199509E-2</c:v>
                      </c:pt>
                      <c:pt idx="4">
                        <c:v>1.2752216238838741E-2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E49-4B7E-83AF-F6053242C505}"/>
                  </c:ext>
                </c:extLst>
              </c15:ser>
            </c15:filteredLineSeries>
          </c:ext>
        </c:extLst>
      </c:lineChart>
      <c:catAx>
        <c:axId val="1672953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49759"/>
        <c:crosses val="autoZero"/>
        <c:auto val="1"/>
        <c:lblAlgn val="ctr"/>
        <c:lblOffset val="100"/>
        <c:noMultiLvlLbl val="0"/>
      </c:catAx>
      <c:valAx>
        <c:axId val="1672949759"/>
        <c:scaling>
          <c:orientation val="minMax"/>
        </c:scaling>
        <c:delete val="0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530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strRef>
              <c:f>'Inductores Operativos y Financi'!$B$36</c:f>
              <c:strCache>
                <c:ptCount val="1"/>
                <c:pt idx="0">
                  <c:v>MARGEN EBITDA  OPERACIONAL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9BBB59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'Inductores Operativos y Financi'!$C$33:$G$33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'Inductores Operativos y Financi'!$C$36:$G$36</c:f>
              <c:numCache>
                <c:formatCode>0.00%</c:formatCode>
                <c:ptCount val="5"/>
                <c:pt idx="0">
                  <c:v>0.18502680115640602</c:v>
                </c:pt>
                <c:pt idx="1">
                  <c:v>0.20041006104263059</c:v>
                </c:pt>
                <c:pt idx="2">
                  <c:v>0.15657397501301731</c:v>
                </c:pt>
                <c:pt idx="3">
                  <c:v>0.10026504173714346</c:v>
                </c:pt>
                <c:pt idx="4">
                  <c:v>7.1971882870185105E-2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327-40FA-BA44-2C6C48ACCA3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672953087"/>
        <c:axId val="167294975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'Inductores Operativos y Financi'!$B$34</c15:sqref>
                        </c15:formulaRef>
                      </c:ext>
                    </c:extLst>
                    <c:strCache>
                      <c:ptCount val="1"/>
                      <c:pt idx="0">
                        <c:v>Ventas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1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'Inductores Operativos y Financi'!$C$33:$G$33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'Inductores Operativos y Financi'!$C$34:$G$34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23022505394.929996</c:v>
                      </c:pt>
                      <c:pt idx="1">
                        <c:v>26779815999</c:v>
                      </c:pt>
                      <c:pt idx="2">
                        <c:v>32806589929.220009</c:v>
                      </c:pt>
                      <c:pt idx="3">
                        <c:v>48267951070.199997</c:v>
                      </c:pt>
                      <c:pt idx="4">
                        <c:v>51117452420.909996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5327-40FA-BA44-2C6C48ACCA37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'Inductores Operativos y Financi'!$B$35</c15:sqref>
                        </c15:formulaRef>
                      </c:ext>
                    </c:extLst>
                    <c:strCache>
                      <c:ptCount val="1"/>
                      <c:pt idx="0">
                        <c:v>EBITDA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solidFill>
                      <a:schemeClr val="accent2">
                        <a:alpha val="30000"/>
                      </a:schemeClr>
                    </a:solidFill>
                    <a:ln>
                      <a:solidFill>
                        <a:schemeClr val="lt1">
                          <a:alpha val="50000"/>
                        </a:schemeClr>
                      </a:solidFill>
                      <a:round/>
                    </a:ln>
                    <a:effectLst>
                      <a:outerShdw blurRad="63500" dist="889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'Inductores Operativos y Financi'!$C$33:$G$33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  <c:pt idx="4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'Inductores Operativos y Financi'!$C$35:$G$35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4259780527.8299975</c:v>
                      </c:pt>
                      <c:pt idx="1">
                        <c:v>5366944559.0700054</c:v>
                      </c:pt>
                      <c:pt idx="2">
                        <c:v>5136658191.8399992</c:v>
                      </c:pt>
                      <c:pt idx="3">
                        <c:v>4839588128.6200008</c:v>
                      </c:pt>
                      <c:pt idx="4">
                        <c:v>3679019298.2599945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327-40FA-BA44-2C6C48ACCA37}"/>
                  </c:ext>
                </c:extLst>
              </c15:ser>
            </c15:filteredLineSeries>
          </c:ext>
        </c:extLst>
      </c:lineChart>
      <c:catAx>
        <c:axId val="1672953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49759"/>
        <c:crosses val="autoZero"/>
        <c:auto val="1"/>
        <c:lblAlgn val="ctr"/>
        <c:lblOffset val="100"/>
        <c:noMultiLvlLbl val="0"/>
      </c:catAx>
      <c:valAx>
        <c:axId val="1672949759"/>
        <c:scaling>
          <c:orientation val="minMax"/>
        </c:scaling>
        <c:delete val="0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729530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'RENTABILIDAD OPERACIONAL'!$A$4</c:f>
              <c:strCache>
                <c:ptCount val="1"/>
                <c:pt idx="0">
                  <c:v>Rentabilidad Operacional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63EF-43A8-B88F-FACDD9EC1B8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63EF-43A8-B88F-FACDD9EC1B8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'RENTABILIDAD OPERACIONAL'!$B$1:$E$2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'RENTABILIDAD OPERACIONAL'!$B$4:$E$4</c:f>
              <c:numCache>
                <c:formatCode>0%</c:formatCode>
                <c:ptCount val="4"/>
                <c:pt idx="0">
                  <c:v>0.13915158816412032</c:v>
                </c:pt>
                <c:pt idx="1">
                  <c:v>0.1875968383919695</c:v>
                </c:pt>
                <c:pt idx="2">
                  <c:v>8.988275268428593E-2</c:v>
                </c:pt>
                <c:pt idx="3">
                  <c:v>0.16829224848012678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3EF-43A8-B88F-FACDD9EC1B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5533744"/>
        <c:axId val="1095528336"/>
        <c:axId val="0"/>
      </c:bar3DChart>
      <c:catAx>
        <c:axId val="10955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28336"/>
        <c:crosses val="autoZero"/>
        <c:auto val="1"/>
        <c:lblAlgn val="ctr"/>
        <c:lblOffset val="100"/>
        <c:noMultiLvlLbl val="0"/>
      </c:catAx>
      <c:valAx>
        <c:axId val="10955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337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'ROE.'!$A$6</c:f>
              <c:strCache>
                <c:ptCount val="1"/>
                <c:pt idx="0">
                  <c:v>ROE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7A36-4EFA-B899-A96E255DC43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7A36-4EFA-B899-A96E255DC4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'ROE.'!$B$1:$E$2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'ROE.'!$B$6:$E$6</c:f>
              <c:numCache>
                <c:formatCode>0%</c:formatCode>
                <c:ptCount val="4"/>
                <c:pt idx="0">
                  <c:v>0.26958102338559564</c:v>
                </c:pt>
                <c:pt idx="1">
                  <c:v>0.40409853419381581</c:v>
                </c:pt>
                <c:pt idx="2">
                  <c:v>0.14172663436501395</c:v>
                </c:pt>
                <c:pt idx="3">
                  <c:v>0.33179624595772372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A36-4EFA-B899-A96E255DC43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5533744"/>
        <c:axId val="1095528336"/>
        <c:axId val="0"/>
      </c:bar3DChart>
      <c:catAx>
        <c:axId val="10955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28336"/>
        <c:crosses val="autoZero"/>
        <c:auto val="1"/>
        <c:lblAlgn val="ctr"/>
        <c:lblOffset val="100"/>
        <c:noMultiLvlLbl val="0"/>
      </c:catAx>
      <c:valAx>
        <c:axId val="10955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337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'RAZON CORRIENTE'!$A$8</c:f>
              <c:strCache>
                <c:ptCount val="1"/>
                <c:pt idx="0">
                  <c:v>Razon Corriente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480C-4AF1-AA3A-BDD417EE69AE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480C-4AF1-AA3A-BDD417EE69A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'RAZON CORRIENTE'!$B$1:$E$2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'RAZON CORRIENTE'!$B$8:$E$8</c:f>
              <c:numCache>
                <c:formatCode>_-* #,##0.0_-;\-* #,##0.0_-;_-* "-"_-;_-@_-</c:formatCode>
                <c:ptCount val="4"/>
                <c:pt idx="0">
                  <c:v>1.5917255047763881</c:v>
                </c:pt>
                <c:pt idx="1">
                  <c:v>5.281815066086903</c:v>
                </c:pt>
                <c:pt idx="2" formatCode="0.0">
                  <c:v>1.2339178631869478</c:v>
                </c:pt>
                <c:pt idx="3">
                  <c:v>5.6570113507408006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0C-4AF1-AA3A-BDD417EE69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5533744"/>
        <c:axId val="1095528336"/>
        <c:axId val="0"/>
      </c:bar3DChart>
      <c:catAx>
        <c:axId val="10955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28336"/>
        <c:crosses val="autoZero"/>
        <c:auto val="1"/>
        <c:lblAlgn val="ctr"/>
        <c:lblOffset val="100"/>
        <c:noMultiLvlLbl val="0"/>
      </c:catAx>
      <c:valAx>
        <c:axId val="10955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_-* #,##0.0_-;\-* #,##0.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337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'INDICE DE SOLIDEZ.'!$A$10</c:f>
              <c:strCache>
                <c:ptCount val="1"/>
                <c:pt idx="0">
                  <c:v>Indice de solidez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1DAF-4909-BE30-59AB02004A2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1DAF-4909-BE30-59AB02004A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'INDICE DE SOLIDEZ.'!$B$1:$E$2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'INDICE DE SOLIDEZ.'!$B$10:$E$10</c:f>
              <c:numCache>
                <c:formatCode>_-* #,##0.0_-;\-* #,##0.0_-;_-* "-"_-;_-@_-</c:formatCode>
                <c:ptCount val="4"/>
                <c:pt idx="0">
                  <c:v>1.2410144341899261</c:v>
                </c:pt>
                <c:pt idx="1">
                  <c:v>5.4096475869001885</c:v>
                </c:pt>
                <c:pt idx="2" formatCode="0.0">
                  <c:v>1.1866374124825754</c:v>
                </c:pt>
                <c:pt idx="3">
                  <c:v>6.1488464642176712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DAF-4909-BE30-59AB02004A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5533744"/>
        <c:axId val="1095528336"/>
        <c:axId val="0"/>
      </c:bar3DChart>
      <c:catAx>
        <c:axId val="10955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28336"/>
        <c:crosses val="autoZero"/>
        <c:auto val="1"/>
        <c:lblAlgn val="ctr"/>
        <c:lblOffset val="100"/>
        <c:noMultiLvlLbl val="0"/>
      </c:catAx>
      <c:valAx>
        <c:axId val="10955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_-* #,##0.0_-;\-* #,##0.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337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29144031984926"/>
          <c:y val="1.4854678419796982E-2"/>
          <c:w val="0.68521905555240947"/>
          <c:h val="0.7653467642653786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ENDEUDAMIENTO!$A$11</c:f>
              <c:strCache>
                <c:ptCount val="1"/>
                <c:pt idx="0">
                  <c:v>Nivel de Endeudamiento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ENDEUDAMIENTO!$B$1:$E$2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ENDEUDAMIENTO!$B$11:$E$11</c:f>
              <c:numCache>
                <c:formatCode>0%</c:formatCode>
                <c:ptCount val="4"/>
                <c:pt idx="0">
                  <c:v>0.8057924005152699</c:v>
                </c:pt>
                <c:pt idx="1">
                  <c:v>0.184854925193568</c:v>
                </c:pt>
                <c:pt idx="2">
                  <c:v>0.84271740422197761</c:v>
                </c:pt>
                <c:pt idx="3">
                  <c:v>0.16263213040354096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98-40FB-9355-802D5EC9D96A}"/>
            </c:ext>
          </c:extLst>
        </c:ser>
        <c:ser>
          <c:idx val="1"/>
          <c:order val="1"/>
          <c:tx>
            <c:strRef>
              <c:f>ENDEUDAMIENTO!$A$12</c:f>
              <c:strCache>
                <c:ptCount val="1"/>
                <c:pt idx="0">
                  <c:v>Concentracion de Endeudamiento a Corto Plazo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ENDEUDAMIENTO!$B$1:$E$2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ENDEUDAMIENTO!$B$12:$E$12</c:f>
              <c:numCache>
                <c:formatCode>0%</c:formatCode>
                <c:ptCount val="4"/>
                <c:pt idx="0">
                  <c:v>0.42435812702583209</c:v>
                </c:pt>
                <c:pt idx="1">
                  <c:v>0.9444551526159275</c:v>
                </c:pt>
                <c:pt idx="2">
                  <c:v>0.62674082353718552</c:v>
                </c:pt>
                <c:pt idx="3">
                  <c:v>0.95751093811184151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8-40FB-9355-802D5EC9D96A}"/>
            </c:ext>
          </c:extLst>
        </c:ser>
        <c:ser>
          <c:idx val="2"/>
          <c:order val="2"/>
          <c:tx>
            <c:strRef>
              <c:f>ENDEUDAMIENTO!$A$13</c:f>
              <c:strCache>
                <c:ptCount val="1"/>
                <c:pt idx="0">
                  <c:v>Concentracion de Endeudamiento a Largo Plazo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ENDEUDAMIENTO!$B$1:$E$2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ENDEUDAMIENTO!$B$13:$E$13</c:f>
              <c:numCache>
                <c:formatCode>0%</c:formatCode>
                <c:ptCount val="4"/>
                <c:pt idx="0">
                  <c:v>0.57564187297416791</c:v>
                </c:pt>
                <c:pt idx="1">
                  <c:v>5.5544847384072504E-2</c:v>
                </c:pt>
                <c:pt idx="2">
                  <c:v>0.37325917646281453</c:v>
                </c:pt>
                <c:pt idx="3">
                  <c:v>4.2489061888158472E-2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98-40FB-9355-802D5EC9D9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5533744"/>
        <c:axId val="1095528336"/>
        <c:axId val="0"/>
      </c:bar3DChart>
      <c:catAx>
        <c:axId val="10955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28336"/>
        <c:crosses val="autoZero"/>
        <c:auto val="1"/>
        <c:lblAlgn val="ctr"/>
        <c:lblOffset val="100"/>
        <c:noMultiLvlLbl val="0"/>
      </c:catAx>
      <c:valAx>
        <c:axId val="10955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337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'ROTACION CARTERA.'!$A$16</c:f>
              <c:strCache>
                <c:ptCount val="1"/>
                <c:pt idx="0">
                  <c:v>Rotacion de Cartera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0B5F-4324-9112-F906D25CA8C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0B5F-4324-9112-F906D25CA8C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'ROTACION CARTERA.'!$B$1:$E$2</c:f>
              <c:multiLvlStrCache>
                <c:ptCount val="4"/>
                <c:lvl>
                  <c:pt idx="0">
                    <c:v>2018</c:v>
                  </c:pt>
                  <c:pt idx="1">
                    <c:v>2018</c:v>
                  </c:pt>
                  <c:pt idx="2">
                    <c:v>2019</c:v>
                  </c:pt>
                  <c:pt idx="3">
                    <c:v>2019</c:v>
                  </c:pt>
                </c:lvl>
                <c:lvl>
                  <c:pt idx="0">
                    <c:v>FARMACEUTICAS SAS</c:v>
                  </c:pt>
                  <c:pt idx="1">
                    <c:v>MEDICAMENTOS SAS</c:v>
                  </c:pt>
                  <c:pt idx="2">
                    <c:v>FARMACEUTICAS SAS</c:v>
                  </c:pt>
                  <c:pt idx="3">
                    <c:v>MEDICAMENTOS SAS</c:v>
                  </c:pt>
                </c:lvl>
              </c:multiLvlStrCache>
            </c:multiLvlStrRef>
          </c:cat>
          <c:val>
            <c:numRef>
              <c:f>'ROTACION CARTERA.'!$B$16:$E$16</c:f>
              <c:numCache>
                <c:formatCode>_-* #,##0.00_-;\-* #,##0.00_-;_-* "-"_-;_-@_-</c:formatCode>
                <c:ptCount val="4"/>
                <c:pt idx="0">
                  <c:v>1.6357644997171863</c:v>
                </c:pt>
                <c:pt idx="1">
                  <c:v>3.0489189976518745</c:v>
                </c:pt>
                <c:pt idx="2">
                  <c:v>1.8658682759627863</c:v>
                </c:pt>
                <c:pt idx="3">
                  <c:v>2.8202046372974543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B5F-4324-9112-F906D25CA8C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95533744"/>
        <c:axId val="1095528336"/>
        <c:axId val="0"/>
      </c:bar3DChart>
      <c:catAx>
        <c:axId val="10955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dk1">
                  <a:lumMod val="60000"/>
                  <a:lumOff val="40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28336"/>
        <c:crosses val="autoZero"/>
        <c:auto val="1"/>
        <c:lblAlgn val="ctr"/>
        <c:lblOffset val="100"/>
        <c:noMultiLvlLbl val="0"/>
      </c:catAx>
      <c:valAx>
        <c:axId val="10955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_-* #,##0.00_-;\-* #,##0.0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955337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Financiero'!$F$91:$O$91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'Analisis Financiero'!$F$93:$O$93</c:f>
              <c:numCache>
                <c:formatCode>_-* #,##0_-;\-* #,##0_-;_-* "-"??_-;_-@_-</c:formatCode>
                <c:ptCount val="10"/>
                <c:pt idx="0">
                  <c:v>23022505394.929996</c:v>
                </c:pt>
                <c:pt idx="1">
                  <c:v>26779815999</c:v>
                </c:pt>
                <c:pt idx="2">
                  <c:v>32806589929.220009</c:v>
                </c:pt>
                <c:pt idx="3">
                  <c:v>48267951070.199997</c:v>
                </c:pt>
                <c:pt idx="4">
                  <c:v>51117452420.909996</c:v>
                </c:pt>
                <c:pt idx="5">
                  <c:v>53912554719.285355</c:v>
                </c:pt>
                <c:pt idx="6">
                  <c:v>57140191545.219528</c:v>
                </c:pt>
                <c:pt idx="7">
                  <c:v>61003011344.155235</c:v>
                </c:pt>
                <c:pt idx="8">
                  <c:v>65472091955.228058</c:v>
                </c:pt>
                <c:pt idx="9">
                  <c:v>69931396138.29863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23-44B1-9097-CB2C9DB08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6176"/>
        <c:axId val="-2050862368"/>
      </c:lineChart>
      <c:catAx>
        <c:axId val="-205086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2368"/>
        <c:crosses val="autoZero"/>
        <c:auto val="1"/>
        <c:lblAlgn val="ctr"/>
        <c:lblOffset val="100"/>
        <c:noMultiLvlLbl val="0"/>
      </c:catAx>
      <c:valAx>
        <c:axId val="-205086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6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Financiero'!$F$43:$O$43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'Analisis Financiero'!$F$59:$O$59</c:f>
              <c:numCache>
                <c:formatCode>_(* #,##0_);_(* \(#,##0\);_(* "-"_);_(@_)</c:formatCode>
                <c:ptCount val="10"/>
                <c:pt idx="0">
                  <c:v>31666918930.940002</c:v>
                </c:pt>
                <c:pt idx="1">
                  <c:v>33843673120.527504</c:v>
                </c:pt>
                <c:pt idx="2">
                  <c:v>43877859613.470001</c:v>
                </c:pt>
                <c:pt idx="3">
                  <c:v>63125575551.490013</c:v>
                </c:pt>
                <c:pt idx="4">
                  <c:v>90039961328.5</c:v>
                </c:pt>
                <c:pt idx="5">
                  <c:v>94963346413.942383</c:v>
                </c:pt>
                <c:pt idx="6">
                  <c:v>100648612037.05228</c:v>
                </c:pt>
                <c:pt idx="7">
                  <c:v>107452709832.28711</c:v>
                </c:pt>
                <c:pt idx="8">
                  <c:v>115324695354.60048</c:v>
                </c:pt>
                <c:pt idx="9">
                  <c:v>123179460355.20232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E6-4B7E-94B6-74C994E63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7808"/>
        <c:axId val="-2050868352"/>
      </c:lineChart>
      <c:catAx>
        <c:axId val="-2050867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8352"/>
        <c:crosses val="autoZero"/>
        <c:auto val="1"/>
        <c:lblAlgn val="ctr"/>
        <c:lblOffset val="100"/>
        <c:noMultiLvlLbl val="0"/>
      </c:catAx>
      <c:valAx>
        <c:axId val="-2050868352"/>
        <c:scaling>
          <c:orientation val="minMax"/>
          <c:min val="60000000.000000007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7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Pasivo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Financiero'!$F$43:$O$43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'Analisis Financiero'!$F$75:$O$75</c:f>
              <c:numCache>
                <c:formatCode>_(* #,##0_);_(* \(#,##0\);_(* "-"_);_(@_)</c:formatCode>
                <c:ptCount val="10"/>
                <c:pt idx="0">
                  <c:v>27565954344.630001</c:v>
                </c:pt>
                <c:pt idx="1">
                  <c:v>27619470782.413208</c:v>
                </c:pt>
                <c:pt idx="2">
                  <c:v>35356445827.410004</c:v>
                </c:pt>
                <c:pt idx="3">
                  <c:v>53197021168.769997</c:v>
                </c:pt>
                <c:pt idx="4">
                  <c:v>79459546139.76001</c:v>
                </c:pt>
                <c:pt idx="5">
                  <c:v>83804394122.682098</c:v>
                </c:pt>
                <c:pt idx="6">
                  <c:v>88821595590.018829</c:v>
                </c:pt>
                <c:pt idx="7">
                  <c:v>94826157505.893097</c:v>
                </c:pt>
                <c:pt idx="8">
                  <c:v>101773121804.77483</c:v>
                </c:pt>
                <c:pt idx="9">
                  <c:v>108704889130.89801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FF-4D5A-A731-50FC71B8B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9440"/>
        <c:axId val="-2050867264"/>
      </c:lineChart>
      <c:catAx>
        <c:axId val="-205086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7264"/>
        <c:crosses val="autoZero"/>
        <c:auto val="1"/>
        <c:lblAlgn val="ctr"/>
        <c:lblOffset val="100"/>
        <c:noMultiLvlLbl val="0"/>
      </c:catAx>
      <c:valAx>
        <c:axId val="-205086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Financiero'!$F$91:$O$91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'Analisis Financiero'!$F$86:$O$86</c:f>
              <c:numCache>
                <c:formatCode>_(* #,##0_);_(* \(#,##0\);_(* "-"_);_(@_)</c:formatCode>
                <c:ptCount val="10"/>
                <c:pt idx="0">
                  <c:v>31666918931.359989</c:v>
                </c:pt>
                <c:pt idx="1">
                  <c:v>33843673120.527508</c:v>
                </c:pt>
                <c:pt idx="2">
                  <c:v>43877859613.18</c:v>
                </c:pt>
                <c:pt idx="3">
                  <c:v>63125575551.539993</c:v>
                </c:pt>
                <c:pt idx="4">
                  <c:v>90039961329.380005</c:v>
                </c:pt>
                <c:pt idx="5">
                  <c:v>94963346413.942383</c:v>
                </c:pt>
                <c:pt idx="6">
                  <c:v>100648612037.05228</c:v>
                </c:pt>
                <c:pt idx="7">
                  <c:v>107452709832.28711</c:v>
                </c:pt>
                <c:pt idx="8">
                  <c:v>115324695354.60048</c:v>
                </c:pt>
                <c:pt idx="9">
                  <c:v>123179460355.20232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34-4F42-BEE0-22A743171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5088"/>
        <c:axId val="-2050861280"/>
      </c:lineChart>
      <c:catAx>
        <c:axId val="-205086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1280"/>
        <c:crosses val="autoZero"/>
        <c:auto val="1"/>
        <c:lblAlgn val="ctr"/>
        <c:lblOffset val="100"/>
        <c:noMultiLvlLbl val="0"/>
      </c:catAx>
      <c:valAx>
        <c:axId val="-205086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5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Reducción de Costos en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Operativas'!$E$12:$I$12</c:f>
              <c:numCache>
                <c:formatCode>0\ "p"</c:formatCod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numCache>
            </c:numRef>
          </c:cat>
          <c:val>
            <c:numRef>
              <c:f>'Estrategias Operativas'!$E$13:$I$13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63-46BA-B5E4-6046C40C7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4000"/>
        <c:axId val="-2050862912"/>
      </c:lineChart>
      <c:catAx>
        <c:axId val="-2050864000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2912"/>
        <c:crosses val="autoZero"/>
        <c:auto val="1"/>
        <c:lblAlgn val="ctr"/>
        <c:lblOffset val="100"/>
        <c:noMultiLvlLbl val="0"/>
      </c:catAx>
      <c:valAx>
        <c:axId val="-205086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sz="1200"/>
              <a:t>Reducción de Gastos</a:t>
            </a:r>
            <a:r>
              <a:rPr lang="es-CO" sz="1200" baseline="0"/>
              <a:t> Administrativos</a:t>
            </a:r>
            <a:endParaRPr lang="es-CO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Operativas'!$E$12:$I$12</c:f>
              <c:numCache>
                <c:formatCode>0\ "p"</c:formatCod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numCache>
            </c:numRef>
          </c:cat>
          <c:val>
            <c:numRef>
              <c:f>'Estrategias Operativas'!$E$18:$I$18</c:f>
              <c:numCache>
                <c:formatCode>0.00%</c:formatCode>
                <c:ptCount val="5"/>
                <c:pt idx="0">
                  <c:v>5.0000000000000001E-3</c:v>
                </c:pt>
                <c:pt idx="1">
                  <c:v>0.01</c:v>
                </c:pt>
                <c:pt idx="2">
                  <c:v>2.5000000000000001E-2</c:v>
                </c:pt>
                <c:pt idx="3">
                  <c:v>1.4999999999999999E-2</c:v>
                </c:pt>
                <c:pt idx="4">
                  <c:v>1.4999999999999999E-2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35-4A58-A86B-5600CEAA80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0736"/>
        <c:axId val="-2050856384"/>
      </c:lineChart>
      <c:catAx>
        <c:axId val="-2050860736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56384"/>
        <c:crosses val="autoZero"/>
        <c:auto val="1"/>
        <c:lblAlgn val="ctr"/>
        <c:lblOffset val="100"/>
        <c:noMultiLvlLbl val="0"/>
      </c:catAx>
      <c:valAx>
        <c:axId val="-205085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sz="1200"/>
              <a:t>Reducción de Gastos</a:t>
            </a:r>
            <a:r>
              <a:rPr lang="es-CO" sz="1200" baseline="0"/>
              <a:t> Ventas</a:t>
            </a:r>
            <a:endParaRPr lang="es-CO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Operativas'!$E$12:$I$12</c:f>
              <c:numCache>
                <c:formatCode>0\ "p"</c:formatCod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numCache>
            </c:numRef>
          </c:cat>
          <c:val>
            <c:numRef>
              <c:f>'Estrategias Operativas'!$E$23:$I$23</c:f>
              <c:numCache>
                <c:formatCode>0.00%</c:formatCode>
                <c:ptCount val="5"/>
                <c:pt idx="0">
                  <c:v>2.5000000000000001E-2</c:v>
                </c:pt>
                <c:pt idx="1">
                  <c:v>4.4999999999999998E-2</c:v>
                </c:pt>
                <c:pt idx="2">
                  <c:v>5.5E-2</c:v>
                </c:pt>
                <c:pt idx="3">
                  <c:v>3.5000000000000003E-2</c:v>
                </c:pt>
                <c:pt idx="4">
                  <c:v>2.5000000000000001E-2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D7-4F29-8F69-18F09F0B3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0860192"/>
        <c:axId val="-2050859104"/>
      </c:lineChart>
      <c:catAx>
        <c:axId val="-2050860192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59104"/>
        <c:crosses val="autoZero"/>
        <c:auto val="1"/>
        <c:lblAlgn val="ctr"/>
        <c:lblOffset val="100"/>
        <c:noMultiLvlLbl val="0"/>
      </c:catAx>
      <c:valAx>
        <c:axId val="-205085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0860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Incremento</a:t>
            </a:r>
            <a:r>
              <a:rPr lang="es-CO" baseline="0"/>
              <a:t> en Ventas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'Estrategias Operativas'!$A$34:$D$34</c:f>
              <c:strCache>
                <c:ptCount val="4"/>
                <c:pt idx="0">
                  <c:v>Gradiente Crecimiento Valoración Natural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Operativas'!$E$33:$I$33</c:f>
              <c:numCache>
                <c:formatCode>0\ "p"</c:formatCod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numCache>
            </c:numRef>
          </c:cat>
          <c:val>
            <c:numRef>
              <c:f>'Estrategias Operativas'!$E$34:$I$34</c:f>
              <c:numCache>
                <c:formatCode>0.00%</c:formatCode>
                <c:ptCount val="5"/>
                <c:pt idx="0">
                  <c:v>5.4680000000000062E-2</c:v>
                </c:pt>
                <c:pt idx="1">
                  <c:v>5.9868000000000032E-2</c:v>
                </c:pt>
                <c:pt idx="2">
                  <c:v>6.760250000000001E-2</c:v>
                </c:pt>
                <c:pt idx="3">
                  <c:v>7.3260000000000103E-2</c:v>
                </c:pt>
                <c:pt idx="4">
                  <c:v>6.8109999999999893E-2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5A-416B-9E54-30700A286313}"/>
            </c:ext>
          </c:extLst>
        </c:ser>
        <c:ser>
          <c:idx val="1"/>
          <c:order val="1"/>
          <c:tx>
            <c:strRef>
              <c:f>'Estrategias Operativas'!$A$37:$D$37</c:f>
              <c:strCache>
                <c:ptCount val="4"/>
                <c:pt idx="0">
                  <c:v>INCREMENTO GRADIENTE DE CRECIMIENTO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'Estrategias Operativas'!$E$33:$I$33</c:f>
              <c:numCache>
                <c:formatCode>0\ "p"</c:formatCode>
                <c:ptCount val="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</c:numCache>
            </c:numRef>
          </c:cat>
          <c:val>
            <c:numRef>
              <c:f>'Estrategias Operativas'!$E$37:$I$37</c:f>
              <c:numCache>
                <c:formatCode>0.0%</c:formatCode>
                <c:ptCount val="5"/>
                <c:pt idx="0">
                  <c:v>6.5226800000000029E-2</c:v>
                </c:pt>
                <c:pt idx="1">
                  <c:v>8.1065359999999975E-2</c:v>
                </c:pt>
                <c:pt idx="2">
                  <c:v>0.10496858749999993</c:v>
                </c:pt>
                <c:pt idx="3">
                  <c:v>0.11619040000000025</c:v>
                </c:pt>
                <c:pt idx="4">
                  <c:v>0.12151549999999989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5A-416B-9E54-30700A2863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1417264"/>
        <c:axId val="-1775706864"/>
      </c:lineChart>
      <c:catAx>
        <c:axId val="-2051417264"/>
        <c:scaling>
          <c:orientation val="minMax"/>
        </c:scaling>
        <c:delete val="0"/>
        <c:axPos val="b"/>
        <c:numFmt formatCode="0\ &quot;p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6864"/>
        <c:crosses val="autoZero"/>
        <c:auto val="1"/>
        <c:lblAlgn val="ctr"/>
        <c:lblOffset val="100"/>
        <c:noMultiLvlLbl val="0"/>
      </c:catAx>
      <c:valAx>
        <c:axId val="-1775706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1417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Estrategia'!$F$91:$O$91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'Estados Finan + Estrategia'!$F$93:$O$93</c:f>
              <c:numCache>
                <c:formatCode>_-* #,##0_-;\-* #,##0_-;_-* "-"??_-;_-@_-</c:formatCode>
                <c:ptCount val="10"/>
                <c:pt idx="0">
                  <c:v>23022505394.929996</c:v>
                </c:pt>
                <c:pt idx="1">
                  <c:v>26779815999</c:v>
                </c:pt>
                <c:pt idx="2">
                  <c:v>32806589929.220009</c:v>
                </c:pt>
                <c:pt idx="3">
                  <c:v>48267951070.199997</c:v>
                </c:pt>
                <c:pt idx="4">
                  <c:v>51117452420.909996</c:v>
                </c:pt>
                <c:pt idx="5">
                  <c:v>54451680266.47821</c:v>
                </c:pt>
                <c:pt idx="6">
                  <c:v>58865825329.885162</c:v>
                </c:pt>
                <c:pt idx="7">
                  <c:v>65044887866.784927</c:v>
                </c:pt>
                <c:pt idx="8">
                  <c:v>72602479405.981827</c:v>
                </c:pt>
                <c:pt idx="9">
                  <c:v>81424805992.23941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11-42B0-9DA6-F413A6A8E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75700336"/>
        <c:axId val="-1775700880"/>
      </c:lineChart>
      <c:catAx>
        <c:axId val="-177570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0880"/>
        <c:crosses val="autoZero"/>
        <c:auto val="1"/>
        <c:lblAlgn val="ctr"/>
        <c:lblOffset val="100"/>
        <c:noMultiLvlLbl val="0"/>
      </c:catAx>
      <c:valAx>
        <c:axId val="-177570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0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Estrategia'!$F$43:$O$43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'Estados Finan + Estrategia'!$F$59:$O$59</c:f>
              <c:numCache>
                <c:formatCode>_(* #,##0_);_(* \(#,##0\);_(* "-"_);_(@_)</c:formatCode>
                <c:ptCount val="10"/>
                <c:pt idx="0">
                  <c:v>31666918930.940002</c:v>
                </c:pt>
                <c:pt idx="1">
                  <c:v>33843673120.527504</c:v>
                </c:pt>
                <c:pt idx="2">
                  <c:v>43877859613.470001</c:v>
                </c:pt>
                <c:pt idx="3">
                  <c:v>63125575551.490013</c:v>
                </c:pt>
                <c:pt idx="4">
                  <c:v>90039961328.5</c:v>
                </c:pt>
                <c:pt idx="5">
                  <c:v>95912979878.081818</c:v>
                </c:pt>
                <c:pt idx="6">
                  <c:v>103688200120.57126</c:v>
                </c:pt>
                <c:pt idx="7">
                  <c:v>114572204027.64494</c:v>
                </c:pt>
                <c:pt idx="8">
                  <c:v>127884394242.49864</c:v>
                </c:pt>
                <c:pt idx="9">
                  <c:v>143424330351.07297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EF-405A-80A4-2C8412010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75705232"/>
        <c:axId val="-1775699248"/>
      </c:lineChart>
      <c:catAx>
        <c:axId val="-177570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699248"/>
        <c:crosses val="autoZero"/>
        <c:auto val="1"/>
        <c:lblAlgn val="ctr"/>
        <c:lblOffset val="100"/>
        <c:noMultiLvlLbl val="0"/>
      </c:catAx>
      <c:valAx>
        <c:axId val="-1775699248"/>
        <c:scaling>
          <c:orientation val="minMax"/>
          <c:min val="60000000.000000007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Pasivo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Estrategia'!$F$43:$O$43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'Estados Finan + Estrategia'!$F$75:$O$75</c:f>
              <c:numCache>
                <c:formatCode>_(* #,##0_);_(* \(#,##0\);_(* "-"_);_(@_)</c:formatCode>
                <c:ptCount val="10"/>
                <c:pt idx="0">
                  <c:v>27565954344.630001</c:v>
                </c:pt>
                <c:pt idx="1">
                  <c:v>27619470782.413208</c:v>
                </c:pt>
                <c:pt idx="2">
                  <c:v>35356445827.410004</c:v>
                </c:pt>
                <c:pt idx="3">
                  <c:v>53197021168.769997</c:v>
                </c:pt>
                <c:pt idx="4">
                  <c:v>79459546139.76001</c:v>
                </c:pt>
                <c:pt idx="5">
                  <c:v>84642438063.908905</c:v>
                </c:pt>
                <c:pt idx="6">
                  <c:v>91504007776.837387</c:v>
                </c:pt>
                <c:pt idx="7">
                  <c:v>101109054223.76103</c:v>
                </c:pt>
                <c:pt idx="8">
                  <c:v>112856955677.64153</c:v>
                </c:pt>
                <c:pt idx="9">
                  <c:v>126570825075.28796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79-49C6-848B-F298FE64E9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75701968"/>
        <c:axId val="-1775706320"/>
      </c:lineChart>
      <c:catAx>
        <c:axId val="-177570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6320"/>
        <c:crosses val="autoZero"/>
        <c:auto val="1"/>
        <c:lblAlgn val="ctr"/>
        <c:lblOffset val="100"/>
        <c:noMultiLvlLbl val="0"/>
      </c:catAx>
      <c:valAx>
        <c:axId val="-177570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Estrategia'!$F$91:$O$91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'Estados Finan + Estrategia'!$F$86:$O$86</c:f>
              <c:numCache>
                <c:formatCode>_(* #,##0_);_(* \(#,##0\);_(* "-"_);_(@_)</c:formatCode>
                <c:ptCount val="10"/>
                <c:pt idx="0">
                  <c:v>31666918931.359989</c:v>
                </c:pt>
                <c:pt idx="1">
                  <c:v>33843673120.527508</c:v>
                </c:pt>
                <c:pt idx="2">
                  <c:v>43877859613.18</c:v>
                </c:pt>
                <c:pt idx="3">
                  <c:v>63125575551.539993</c:v>
                </c:pt>
                <c:pt idx="4">
                  <c:v>90039961329.380005</c:v>
                </c:pt>
                <c:pt idx="5">
                  <c:v>95912979878.081818</c:v>
                </c:pt>
                <c:pt idx="6">
                  <c:v>103688200120.57126</c:v>
                </c:pt>
                <c:pt idx="7">
                  <c:v>114572204027.64494</c:v>
                </c:pt>
                <c:pt idx="8">
                  <c:v>127884394242.49864</c:v>
                </c:pt>
                <c:pt idx="9">
                  <c:v>143424330351.073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4C-45B4-9629-669D90820E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75703600"/>
        <c:axId val="-1775699792"/>
      </c:lineChart>
      <c:catAx>
        <c:axId val="-177570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699792"/>
        <c:crosses val="autoZero"/>
        <c:auto val="1"/>
        <c:lblAlgn val="ctr"/>
        <c:lblOffset val="100"/>
        <c:noMultiLvlLbl val="0"/>
      </c:catAx>
      <c:valAx>
        <c:axId val="-177569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775703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GESTIÓN DE VALOR POR MÉTODO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'Valoración + Estrategia'!$F$201</c:f>
              <c:strCache>
                <c:ptCount val="1"/>
                <c:pt idx="0">
                  <c:v>P/BV ANTES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'Valoración + Estrategia'!$F$202:$F$205</c:f>
              <c:numCache>
                <c:formatCode>0.00\ \X</c:formatCode>
                <c:ptCount val="4"/>
                <c:pt idx="0">
                  <c:v>1.3680532346693446</c:v>
                </c:pt>
                <c:pt idx="1">
                  <c:v>2.9575108939105421</c:v>
                </c:pt>
                <c:pt idx="2">
                  <c:v>3.9954836009864261</c:v>
                </c:pt>
                <c:pt idx="3">
                  <c:v>7.8234833553483956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B6-4D46-A054-BBBFADBE98DE}"/>
            </c:ext>
          </c:extLst>
        </c:ser>
        <c:ser>
          <c:idx val="1"/>
          <c:order val="1"/>
          <c:tx>
            <c:strRef>
              <c:f>'Valoración + Estrategia'!$G$201</c:f>
              <c:strCache>
                <c:ptCount val="1"/>
                <c:pt idx="0">
                  <c:v>P/BV 
+ Tratamiento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'Valoración + Estrategia'!$G$202:$G$205</c:f>
              <c:numCache>
                <c:formatCode>0.00\ \X</c:formatCode>
                <c:ptCount val="4"/>
                <c:pt idx="0">
                  <c:v>1.5928964009200022</c:v>
                </c:pt>
                <c:pt idx="1">
                  <c:v>3.44358562898354</c:v>
                </c:pt>
                <c:pt idx="2">
                  <c:v>5.4861876520607353</c:v>
                </c:pt>
                <c:pt idx="3">
                  <c:v>14.758122075927979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B6-4D46-A054-BBBFADBE9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4553696"/>
        <c:axId val="769665296"/>
      </c:barChart>
      <c:lineChart>
        <c:grouping val="standard"/>
        <c:varyColors val="0"/>
        <c:ser>
          <c:idx val="2"/>
          <c:order val="2"/>
          <c:tx>
            <c:strRef>
              <c:f>'Valoración + Estrategia'!$I$201</c:f>
              <c:strCache>
                <c:ptCount val="1"/>
                <c:pt idx="0">
                  <c:v>P/BV Sector 
(Damodaran)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3"/>
              <c:layout>
                <c:manualLayout>
                  <c:x val="-7.5825782266258704E-2"/>
                  <c:y val="-3.3778868013368988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EB6-4D46-A054-BBBFADBE98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'Valoración + Estrategia'!$I$202:$I$205</c:f>
              <c:numCache>
                <c:formatCode>0.00\ \X</c:formatCode>
                <c:ptCount val="4"/>
                <c:pt idx="0">
                  <c:v>4.8499999999999996</c:v>
                </c:pt>
                <c:pt idx="1">
                  <c:v>4.8499999999999996</c:v>
                </c:pt>
                <c:pt idx="2">
                  <c:v>4.8499999999999996</c:v>
                </c:pt>
                <c:pt idx="3">
                  <c:v>4.8499999999999996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B6-4D46-A054-BBBFADBE9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20976"/>
        <c:axId val="719886432"/>
      </c:lineChart>
      <c:catAx>
        <c:axId val="6455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769665296"/>
        <c:crosses val="autoZero"/>
        <c:auto val="1"/>
        <c:lblAlgn val="ctr"/>
        <c:lblOffset val="100"/>
        <c:noMultiLvlLbl val="0"/>
      </c:catAx>
      <c:valAx>
        <c:axId val="76966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\X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4553696"/>
        <c:crosses val="autoZero"/>
        <c:crossBetween val="between"/>
      </c:valAx>
      <c:valAx>
        <c:axId val="719886432"/>
        <c:scaling>
          <c:orientation val="minMax"/>
        </c:scaling>
        <c:delete val="0"/>
        <c:axPos val="r"/>
        <c:numFmt formatCode="0.00\ \X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0420976"/>
        <c:crosses val="max"/>
        <c:crossBetween val="between"/>
      </c:valAx>
      <c:catAx>
        <c:axId val="60420976"/>
        <c:scaling>
          <c:orientation val="minMax"/>
        </c:scaling>
        <c:delete val="1"/>
        <c:axPos val="b"/>
        <c:majorTickMark val="out"/>
        <c:minorTickMark val="none"/>
        <c:tickLblPos val="nextTo"/>
        <c:crossAx val="7198864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ROA CON</a:t>
            </a:r>
            <a:r>
              <a:rPr lang="es-CO" baseline="0"/>
              <a:t> ESTRATEGIA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'Estados Finan + Estrategia'!$F$116:$O$116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'Estados Finan + Estrategia'!$F$117:$O$117</c:f>
              <c:numCache>
                <c:formatCode>0.00%</c:formatCode>
                <c:ptCount val="10"/>
                <c:pt idx="0">
                  <c:v>5.2549144715311316E-2</c:v>
                </c:pt>
                <c:pt idx="1">
                  <c:v>6.2736622952621363E-2</c:v>
                </c:pt>
                <c:pt idx="2">
                  <c:v>5.2354683416571714E-2</c:v>
                </c:pt>
                <c:pt idx="3">
                  <c:v>2.2291132943924288E-2</c:v>
                </c:pt>
                <c:pt idx="4">
                  <c:v>7.2396833276255988E-3</c:v>
                </c:pt>
                <c:pt idx="5">
                  <c:v>4.0032105273591509E-2</c:v>
                </c:pt>
                <c:pt idx="6">
                  <c:v>5.3760647061166046E-2</c:v>
                </c:pt>
                <c:pt idx="7">
                  <c:v>7.2747035965528603E-2</c:v>
                </c:pt>
                <c:pt idx="8">
                  <c:v>8.6151137630799707E-2</c:v>
                </c:pt>
                <c:pt idx="9">
                  <c:v>0.10561792189345748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C6-4E1A-9547-C031742AC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4405888"/>
        <c:axId val="25929536"/>
      </c:lineChart>
      <c:catAx>
        <c:axId val="1844405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5929536"/>
        <c:crosses val="autoZero"/>
        <c:auto val="1"/>
        <c:lblAlgn val="ctr"/>
        <c:lblOffset val="100"/>
        <c:noMultiLvlLbl val="0"/>
      </c:catAx>
      <c:valAx>
        <c:axId val="2592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44405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ROA SIN ESTRATEGIA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"/>
              <c:layout>
                <c:manualLayout>
                  <c:x val="2.7777777777777779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003-49B8-AE32-996F2E826870}"/>
                </c:ext>
              </c:extLst>
            </c:dLbl>
            <c:dLbl>
              <c:idx val="5"/>
              <c:layout>
                <c:manualLayout>
                  <c:x val="5.5555555555555558E-3"/>
                  <c:y val="-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003-49B8-AE32-996F2E826870}"/>
                </c:ext>
              </c:extLst>
            </c:dLbl>
            <c:dLbl>
              <c:idx val="6"/>
              <c:layout>
                <c:manualLayout>
                  <c:x val="2.777777777777676E-3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003-49B8-AE32-996F2E826870}"/>
                </c:ext>
              </c:extLst>
            </c:dLbl>
            <c:dLbl>
              <c:idx val="7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003-49B8-AE32-996F2E826870}"/>
                </c:ext>
              </c:extLst>
            </c:dLbl>
            <c:dLbl>
              <c:idx val="8"/>
              <c:layout>
                <c:manualLayout>
                  <c:x val="5.5555555555556572E-3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003-49B8-AE32-996F2E8268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'Analisis Financiero'!$F$116:$O$116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'Analisis Financiero'!$F$117:$O$117</c:f>
              <c:numCache>
                <c:formatCode>0.00%</c:formatCode>
                <c:ptCount val="10"/>
                <c:pt idx="0">
                  <c:v>5.2549144715311316E-2</c:v>
                </c:pt>
                <c:pt idx="1">
                  <c:v>6.2736622952621363E-2</c:v>
                </c:pt>
                <c:pt idx="2">
                  <c:v>5.2354683416571714E-2</c:v>
                </c:pt>
                <c:pt idx="3">
                  <c:v>2.2291132943924288E-2</c:v>
                </c:pt>
                <c:pt idx="4">
                  <c:v>7.2396833276255988E-3</c:v>
                </c:pt>
                <c:pt idx="5" formatCode="0.0%">
                  <c:v>2.9918017228038437E-2</c:v>
                </c:pt>
                <c:pt idx="6" formatCode="0.0%">
                  <c:v>2.9918017228038388E-2</c:v>
                </c:pt>
                <c:pt idx="7" formatCode="0.0%">
                  <c:v>2.9918017228038413E-2</c:v>
                </c:pt>
                <c:pt idx="8" formatCode="0.0%">
                  <c:v>2.991801722803842E-2</c:v>
                </c:pt>
                <c:pt idx="9" formatCode="0.0%">
                  <c:v>2.9918017228038416E-2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003-49B8-AE32-996F2E8268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08068112"/>
        <c:axId val="719890592"/>
      </c:lineChart>
      <c:catAx>
        <c:axId val="190806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719890592"/>
        <c:crosses val="autoZero"/>
        <c:auto val="1"/>
        <c:lblAlgn val="ctr"/>
        <c:lblOffset val="100"/>
        <c:noMultiLvlLbl val="0"/>
      </c:catAx>
      <c:valAx>
        <c:axId val="719890592"/>
        <c:scaling>
          <c:orientation val="minMax"/>
          <c:max val="0.1500000000000000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8068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EBITDA SIN ESTRATEGIA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EBITDA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'Analisis Financiero'!$F$116:$O$116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'Analisis Financiero'!$F$118:$O$118</c:f>
              <c:numCache>
                <c:formatCode>_(* #,##0_);_(* \(#,##0\);_(* "-"_);_(@_)</c:formatCode>
                <c:ptCount val="10"/>
                <c:pt idx="0">
                  <c:v>8846747074.9228649</c:v>
                </c:pt>
                <c:pt idx="1">
                  <c:v>7024386444.9500065</c:v>
                </c:pt>
                <c:pt idx="2">
                  <c:v>5177758644.6699991</c:v>
                </c:pt>
                <c:pt idx="3">
                  <c:v>7533044392.9300003</c:v>
                </c:pt>
                <c:pt idx="4">
                  <c:v>15825044009.199995</c:v>
                </c:pt>
                <c:pt idx="5">
                  <c:v>13102139410.811119</c:v>
                </c:pt>
                <c:pt idx="6">
                  <c:v>13782144916.248121</c:v>
                </c:pt>
                <c:pt idx="7">
                  <c:v>14557534176.306721</c:v>
                </c:pt>
                <c:pt idx="8">
                  <c:v>15571869138.766146</c:v>
                </c:pt>
                <c:pt idx="9">
                  <c:v>16594793712.329214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BF-4E10-8EB3-ED0D14CE6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9973664"/>
        <c:axId val="254351472"/>
      </c:lineChart>
      <c:catAx>
        <c:axId val="1849973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54351472"/>
        <c:crosses val="autoZero"/>
        <c:auto val="1"/>
        <c:lblAlgn val="ctr"/>
        <c:lblOffset val="100"/>
        <c:noMultiLvlLbl val="0"/>
      </c:catAx>
      <c:valAx>
        <c:axId val="254351472"/>
        <c:scaling>
          <c:orientation val="minMax"/>
          <c:max val="30000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49973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EBITDA CON ESTRATEGIA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EBITDA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'Estados Finan + Estrategia'!$F$116:$O$116</c:f>
              <c:numCache>
                <c:formatCode>General</c:formatCode>
                <c:ptCount val="10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</c:numCache>
            </c:numRef>
          </c:cat>
          <c:val>
            <c:numRef>
              <c:f>'Estados Finan + Estrategia'!$F$118:$O$118</c:f>
              <c:numCache>
                <c:formatCode>_(* #,##0_);_(* \(#,##0\);_(* "-"_);_(@_)</c:formatCode>
                <c:ptCount val="10"/>
                <c:pt idx="0">
                  <c:v>8846747074.9228649</c:v>
                </c:pt>
                <c:pt idx="1">
                  <c:v>7024386444.9500065</c:v>
                </c:pt>
                <c:pt idx="2">
                  <c:v>5177758644.6699991</c:v>
                </c:pt>
                <c:pt idx="3">
                  <c:v>7533044392.9300003</c:v>
                </c:pt>
                <c:pt idx="4">
                  <c:v>15825044009.199995</c:v>
                </c:pt>
                <c:pt idx="5">
                  <c:v>14196531934.576666</c:v>
                </c:pt>
                <c:pt idx="6">
                  <c:v>16652268556.837345</c:v>
                </c:pt>
                <c:pt idx="7">
                  <c:v>20396589852.148373</c:v>
                </c:pt>
                <c:pt idx="8">
                  <c:v>24407446580.290421</c:v>
                </c:pt>
                <c:pt idx="9">
                  <c:v>30102336310.784389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DD-4ACF-8C5F-AB875A9CCF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5626448"/>
        <c:axId val="1552442288"/>
      </c:lineChart>
      <c:catAx>
        <c:axId val="58562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52442288"/>
        <c:crosses val="autoZero"/>
        <c:auto val="1"/>
        <c:lblAlgn val="ctr"/>
        <c:lblOffset val="100"/>
        <c:noMultiLvlLbl val="0"/>
      </c:catAx>
      <c:valAx>
        <c:axId val="155244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8562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9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Relationship Id="rId5" Type="http://schemas.openxmlformats.org/officeDocument/2006/relationships/image" Target="../media/image2.png"/><Relationship Id="rId4" Type="http://schemas.openxmlformats.org/officeDocument/2006/relationships/chart" Target="../charts/chart30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image" Target="../media/image3.png"/><Relationship Id="rId4" Type="http://schemas.openxmlformats.org/officeDocument/2006/relationships/chart" Target="../charts/chart34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1.xml"/><Relationship Id="rId2" Type="http://schemas.openxmlformats.org/officeDocument/2006/relationships/chart" Target="../charts/chart40.xml"/><Relationship Id="rId1" Type="http://schemas.openxmlformats.org/officeDocument/2006/relationships/chart" Target="../charts/chart39.xml"/><Relationship Id="rId5" Type="http://schemas.openxmlformats.org/officeDocument/2006/relationships/chart" Target="../charts/chart43.xml"/><Relationship Id="rId4" Type="http://schemas.openxmlformats.org/officeDocument/2006/relationships/chart" Target="../charts/chart4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3752850</xdr:colOff>
      <xdr:row>34</xdr:row>
      <xdr:rowOff>0</xdr:rowOff>
    </xdr:from>
    <xdr:to>
      <xdr:col>6</xdr:col>
      <xdr:colOff>600075</xdr:colOff>
      <xdr:row>34</xdr:row>
      <xdr:rowOff>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3752850" y="9382125"/>
          <a:ext cx="7324725" cy="19050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3676650</xdr:colOff>
      <xdr:row>34</xdr:row>
      <xdr:rowOff>0</xdr:rowOff>
    </xdr:from>
    <xdr:to>
      <xdr:col>1</xdr:col>
      <xdr:colOff>581025</xdr:colOff>
      <xdr:row>34</xdr:row>
      <xdr:rowOff>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3676650" y="8343900"/>
          <a:ext cx="962025" cy="447675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Inicio de producción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381001</xdr:colOff>
      <xdr:row>9</xdr:row>
      <xdr:rowOff>38100</xdr:rowOff>
    </xdr:from>
    <xdr:to>
      <xdr:col>8</xdr:col>
      <xdr:colOff>85725</xdr:colOff>
      <xdr:row>11</xdr:row>
      <xdr:rowOff>104775</xdr:rowOff>
    </xdr:to>
    <xdr:sp macro="" textlink="'Estados Financieros'!C61">
      <xdr:nvSpPr>
        <xdr:cNvPr id="3" name="Rectángulo: una sola esquina cortad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4191001" y="1752600"/>
          <a:ext cx="1990724" cy="447675"/>
        </a:xfrm>
        <a:prstGeom prst="snip1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fld id="{04E9E7AC-4065-43FA-A5AC-1B6DF1B04792}" type="TxLink">
            <a:rPr 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 algn="ctr"/>
            <a:t>23.022.505.395</a:t>
          </a:fld>
          <a:endParaRPr lang="en-US" b="1"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5</xdr:col>
      <xdr:colOff>371475</xdr:colOff>
      <xdr:row>5</xdr:row>
      <xdr:rowOff>114300</xdr:rowOff>
    </xdr:from>
    <xdr:to>
      <xdr:col>8</xdr:col>
      <xdr:colOff>95250</xdr:colOff>
      <xdr:row>8</xdr:row>
      <xdr:rowOff>47626</xdr:rowOff>
    </xdr:to>
    <xdr:sp macro="" textlink="'Estados Financieros'!C9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4181475" y="1066800"/>
          <a:ext cx="2009775" cy="5048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2B9F3BCC-DA31-4B46-9B73-760D928F4B78}" type="TxLink">
            <a:rPr lang="en-US" sz="1200" b="1" i="0" u="sng" strike="noStrike">
              <a:solidFill>
                <a:srgbClr val="000000"/>
              </a:solidFill>
              <a:latin typeface="Times New Roman"/>
              <a:cs typeface="Times New Roman"/>
            </a:rPr>
            <a:pPr algn="ctr"/>
            <a:t>2016</a:t>
          </a:fld>
          <a:endParaRPr lang="en-US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409576</xdr:colOff>
      <xdr:row>9</xdr:row>
      <xdr:rowOff>57150</xdr:rowOff>
    </xdr:from>
    <xdr:to>
      <xdr:col>11</xdr:col>
      <xdr:colOff>114300</xdr:colOff>
      <xdr:row>11</xdr:row>
      <xdr:rowOff>123825</xdr:rowOff>
    </xdr:to>
    <xdr:sp macro="" textlink="'Estados Financieros'!D61">
      <xdr:nvSpPr>
        <xdr:cNvPr id="5" name="Rectángulo: una sola esquina cortada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6505576" y="1771650"/>
          <a:ext cx="1990724" cy="447675"/>
        </a:xfrm>
        <a:prstGeom prst="snip1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fld id="{67B02D6C-6FC1-4604-BC36-214304FACA9D}" type="TxLink">
            <a:rPr lang="en-US" sz="1200" b="0" i="0" u="none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26.779.815.999</a:t>
          </a:fld>
          <a:endParaRPr lang="en-US" sz="1600" b="1" i="0" u="none" strike="noStrike">
            <a:solidFill>
              <a:srgbClr val="000000"/>
            </a:solidFill>
            <a:latin typeface="Franklin Gothic Book" panose="020B0503020102020204" pitchFamily="34" charset="0"/>
            <a:ea typeface="+mn-ea"/>
            <a:cs typeface="Times New Roman"/>
          </a:endParaRPr>
        </a:p>
      </xdr:txBody>
    </xdr:sp>
    <xdr:clientData/>
  </xdr:twoCellAnchor>
  <xdr:twoCellAnchor>
    <xdr:from>
      <xdr:col>8</xdr:col>
      <xdr:colOff>400050</xdr:colOff>
      <xdr:row>5</xdr:row>
      <xdr:rowOff>133350</xdr:rowOff>
    </xdr:from>
    <xdr:to>
      <xdr:col>11</xdr:col>
      <xdr:colOff>123825</xdr:colOff>
      <xdr:row>8</xdr:row>
      <xdr:rowOff>66676</xdr:rowOff>
    </xdr:to>
    <xdr:sp macro="" textlink="'Estados Financieros'!D9">
      <xdr:nvSpPr>
        <xdr:cNvPr id="6" name="Rectángulo: esquinas redondeada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6496050" y="1085850"/>
          <a:ext cx="2009775" cy="5048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fld id="{91D91D17-4ADE-4259-BE55-948CCB2FE515}" type="TxLink">
            <a:rPr lang="en-US" sz="1200" b="1" i="0" u="sng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2017</a:t>
          </a:fld>
          <a:endParaRPr lang="en-US" sz="2000" b="1" i="0" u="sng" strike="noStrike">
            <a:solidFill>
              <a:schemeClr val="bg1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11</xdr:col>
      <xdr:colOff>381001</xdr:colOff>
      <xdr:row>9</xdr:row>
      <xdr:rowOff>57150</xdr:rowOff>
    </xdr:from>
    <xdr:to>
      <xdr:col>14</xdr:col>
      <xdr:colOff>85725</xdr:colOff>
      <xdr:row>11</xdr:row>
      <xdr:rowOff>123825</xdr:rowOff>
    </xdr:to>
    <xdr:sp macro="" textlink="'Estados Financieros'!E61">
      <xdr:nvSpPr>
        <xdr:cNvPr id="7" name="Rectángulo: una sola esquina cortada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8763001" y="1771650"/>
          <a:ext cx="1990724" cy="447675"/>
        </a:xfrm>
        <a:prstGeom prst="snip1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fld id="{8C95B229-780C-4322-9B3C-D990FF0F3DE5}" type="TxLink">
            <a:rPr lang="en-US" sz="1200" b="0" i="0" u="none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32.806.589.929</a:t>
          </a:fld>
          <a:endParaRPr lang="en-US" sz="1600" b="1" i="0" u="none" strike="noStrike">
            <a:solidFill>
              <a:srgbClr val="000000"/>
            </a:solidFill>
            <a:latin typeface="Franklin Gothic Book" panose="020B0503020102020204" pitchFamily="34" charset="0"/>
            <a:ea typeface="+mn-ea"/>
            <a:cs typeface="Times New Roman"/>
          </a:endParaRPr>
        </a:p>
      </xdr:txBody>
    </xdr:sp>
    <xdr:clientData/>
  </xdr:twoCellAnchor>
  <xdr:twoCellAnchor>
    <xdr:from>
      <xdr:col>11</xdr:col>
      <xdr:colOff>371475</xdr:colOff>
      <xdr:row>5</xdr:row>
      <xdr:rowOff>133350</xdr:rowOff>
    </xdr:from>
    <xdr:to>
      <xdr:col>14</xdr:col>
      <xdr:colOff>95250</xdr:colOff>
      <xdr:row>8</xdr:row>
      <xdr:rowOff>66676</xdr:rowOff>
    </xdr:to>
    <xdr:sp macro="" textlink="'Estados Financieros'!E9">
      <xdr:nvSpPr>
        <xdr:cNvPr id="8" name="Rectángulo: esquinas redondeadas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8753475" y="1085850"/>
          <a:ext cx="2009775" cy="5048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fld id="{9E88C0A5-6F7A-4581-B506-31ABA18C4ACE}" type="TxLink">
            <a:rPr lang="en-US" sz="1200" b="1" i="0" u="sng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2018</a:t>
          </a:fld>
          <a:endParaRPr lang="en-US" sz="2000" b="1" i="0" u="sng" strike="noStrike">
            <a:solidFill>
              <a:schemeClr val="bg1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14</xdr:col>
      <xdr:colOff>333376</xdr:colOff>
      <xdr:row>9</xdr:row>
      <xdr:rowOff>47625</xdr:rowOff>
    </xdr:from>
    <xdr:to>
      <xdr:col>17</xdr:col>
      <xdr:colOff>38100</xdr:colOff>
      <xdr:row>11</xdr:row>
      <xdr:rowOff>114300</xdr:rowOff>
    </xdr:to>
    <xdr:sp macro="" textlink="'Estados Financieros'!F61">
      <xdr:nvSpPr>
        <xdr:cNvPr id="9" name="Rectángulo: una sola esquina cortada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11001376" y="1762125"/>
          <a:ext cx="1990724" cy="447675"/>
        </a:xfrm>
        <a:prstGeom prst="snip1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fld id="{3776C51A-8A01-465C-8085-EE310FB90A4E}" type="TxLink">
            <a:rPr lang="en-US" sz="1200" b="0" i="0" u="none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48.267.951.070</a:t>
          </a:fld>
          <a:endParaRPr lang="en-US" sz="1600" b="1" i="0" u="none" strike="noStrike">
            <a:solidFill>
              <a:srgbClr val="000000"/>
            </a:solidFill>
            <a:latin typeface="Franklin Gothic Book" panose="020B0503020102020204" pitchFamily="34" charset="0"/>
            <a:ea typeface="+mn-ea"/>
            <a:cs typeface="Times New Roman"/>
          </a:endParaRPr>
        </a:p>
      </xdr:txBody>
    </xdr:sp>
    <xdr:clientData/>
  </xdr:twoCellAnchor>
  <xdr:twoCellAnchor>
    <xdr:from>
      <xdr:col>14</xdr:col>
      <xdr:colOff>323850</xdr:colOff>
      <xdr:row>5</xdr:row>
      <xdr:rowOff>123825</xdr:rowOff>
    </xdr:from>
    <xdr:to>
      <xdr:col>17</xdr:col>
      <xdr:colOff>47625</xdr:colOff>
      <xdr:row>8</xdr:row>
      <xdr:rowOff>57151</xdr:rowOff>
    </xdr:to>
    <xdr:sp macro="" textlink="'Estados Financieros'!F9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10991850" y="1076325"/>
          <a:ext cx="2009775" cy="5048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fld id="{7ADD0DE0-0251-492D-B301-B8295948A20E}" type="TxLink">
            <a:rPr lang="en-US" sz="1200" b="1" i="0" u="sng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2019</a:t>
          </a:fld>
          <a:endParaRPr lang="en-US" sz="2000" b="1" i="0" u="sng" strike="noStrike">
            <a:solidFill>
              <a:schemeClr val="bg1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17</xdr:col>
      <xdr:colOff>257176</xdr:colOff>
      <xdr:row>9</xdr:row>
      <xdr:rowOff>47625</xdr:rowOff>
    </xdr:from>
    <xdr:to>
      <xdr:col>19</xdr:col>
      <xdr:colOff>723900</xdr:colOff>
      <xdr:row>11</xdr:row>
      <xdr:rowOff>114300</xdr:rowOff>
    </xdr:to>
    <xdr:sp macro="" textlink="'Estados Financieros'!G61">
      <xdr:nvSpPr>
        <xdr:cNvPr id="11" name="Rectángulo: una sola esquina cortada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13211176" y="1762125"/>
          <a:ext cx="1990724" cy="447675"/>
        </a:xfrm>
        <a:prstGeom prst="snip1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fld id="{4A28AA80-8F41-4EBF-BFEF-FECA23997883}" type="TxLink">
            <a:rPr lang="en-US" sz="1200" b="0" i="0" u="none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51.117.452.421</a:t>
          </a:fld>
          <a:endParaRPr lang="en-US" sz="1600" b="1" i="0" u="none" strike="noStrike">
            <a:solidFill>
              <a:srgbClr val="000000"/>
            </a:solidFill>
            <a:latin typeface="Franklin Gothic Book" panose="020B0503020102020204" pitchFamily="34" charset="0"/>
            <a:ea typeface="+mn-ea"/>
            <a:cs typeface="Times New Roman"/>
          </a:endParaRPr>
        </a:p>
      </xdr:txBody>
    </xdr:sp>
    <xdr:clientData/>
  </xdr:twoCellAnchor>
  <xdr:twoCellAnchor>
    <xdr:from>
      <xdr:col>17</xdr:col>
      <xdr:colOff>247650</xdr:colOff>
      <xdr:row>5</xdr:row>
      <xdr:rowOff>123825</xdr:rowOff>
    </xdr:from>
    <xdr:to>
      <xdr:col>19</xdr:col>
      <xdr:colOff>733425</xdr:colOff>
      <xdr:row>8</xdr:row>
      <xdr:rowOff>57151</xdr:rowOff>
    </xdr:to>
    <xdr:sp macro="" textlink="'Estados Financieros'!G9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13201650" y="1076325"/>
          <a:ext cx="2009775" cy="5048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fld id="{BDB71EDC-F4F2-4882-B73E-2309F2C3C0E4}" type="TxLink">
            <a:rPr lang="en-US" sz="1200" b="1" i="0" u="sng" strike="noStrike">
              <a:solidFill>
                <a:srgbClr val="000000"/>
              </a:solidFill>
              <a:latin typeface="Times New Roman"/>
              <a:ea typeface="+mn-ea"/>
              <a:cs typeface="Times New Roman"/>
            </a:rPr>
            <a:pPr marL="0" indent="0" algn="ctr"/>
            <a:t>2020</a:t>
          </a:fld>
          <a:endParaRPr lang="en-US" sz="2000" b="1" i="0" u="sng" strike="noStrike">
            <a:solidFill>
              <a:schemeClr val="bg1"/>
            </a:solidFill>
            <a:latin typeface="Times New Roman"/>
            <a:ea typeface="+mn-ea"/>
            <a:cs typeface="Times New Roman"/>
          </a:endParaRPr>
        </a:p>
      </xdr:txBody>
    </xdr:sp>
    <xdr:clientData/>
  </xdr:twoCellAnchor>
  <xdr:twoCellAnchor>
    <xdr:from>
      <xdr:col>5</xdr:col>
      <xdr:colOff>380999</xdr:colOff>
      <xdr:row>0</xdr:row>
      <xdr:rowOff>66676</xdr:rowOff>
    </xdr:from>
    <xdr:to>
      <xdr:col>19</xdr:col>
      <xdr:colOff>695324</xdr:colOff>
      <xdr:row>2</xdr:row>
      <xdr:rowOff>161926</xdr:rowOff>
    </xdr:to>
    <xdr:sp macro="" textlink="'Estados Financieros'!B6:G6">
      <xdr:nvSpPr>
        <xdr:cNvPr id="15" name="Rectángulo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4190999" y="66676"/>
          <a:ext cx="10982325" cy="4762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A31F1050-47A7-4498-AB39-2468A0F12B42}" type="TxLink">
            <a:rPr lang="en-US" sz="1600" b="1" i="0" u="none" strike="noStrike">
              <a:solidFill>
                <a:schemeClr val="tx1"/>
              </a:solidFill>
              <a:latin typeface="Agency FB"/>
            </a:rPr>
            <a:pPr algn="ctr"/>
            <a:t>FARMACÉUTICAS SAS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390524</xdr:colOff>
      <xdr:row>3</xdr:row>
      <xdr:rowOff>9526</xdr:rowOff>
    </xdr:from>
    <xdr:to>
      <xdr:col>19</xdr:col>
      <xdr:colOff>704849</xdr:colOff>
      <xdr:row>4</xdr:row>
      <xdr:rowOff>180975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4200524" y="581026"/>
          <a:ext cx="10982325" cy="36194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600" b="1" i="0" u="none" strike="noStrike">
              <a:solidFill>
                <a:schemeClr val="tx1"/>
              </a:solidFill>
              <a:latin typeface="Agency FB"/>
            </a:rPr>
            <a:t>VENTAS</a:t>
          </a:r>
        </a:p>
      </xdr:txBody>
    </xdr:sp>
    <xdr:clientData/>
  </xdr:twoCellAnchor>
  <xdr:twoCellAnchor>
    <xdr:from>
      <xdr:col>0</xdr:col>
      <xdr:colOff>0</xdr:colOff>
      <xdr:row>30</xdr:row>
      <xdr:rowOff>17690</xdr:rowOff>
    </xdr:from>
    <xdr:to>
      <xdr:col>5</xdr:col>
      <xdr:colOff>76200</xdr:colOff>
      <xdr:row>33</xdr:row>
      <xdr:rowOff>36740</xdr:rowOff>
    </xdr:to>
    <xdr:sp macro="" textlink="">
      <xdr:nvSpPr>
        <xdr:cNvPr id="31" name="Rectángulo: esquinas diagonales cortadas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0" y="5732690"/>
          <a:ext cx="3886200" cy="5905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Rentabilidad</a:t>
          </a:r>
        </a:p>
      </xdr:txBody>
    </xdr:sp>
    <xdr:clientData/>
  </xdr:twoCellAnchor>
  <xdr:twoCellAnchor>
    <xdr:from>
      <xdr:col>0</xdr:col>
      <xdr:colOff>200025</xdr:colOff>
      <xdr:row>58</xdr:row>
      <xdr:rowOff>180975</xdr:rowOff>
    </xdr:from>
    <xdr:to>
      <xdr:col>5</xdr:col>
      <xdr:colOff>276225</xdr:colOff>
      <xdr:row>62</xdr:row>
      <xdr:rowOff>28575</xdr:rowOff>
    </xdr:to>
    <xdr:sp macro="" textlink="">
      <xdr:nvSpPr>
        <xdr:cNvPr id="32" name="Rectángulo: esquinas diagonales cortadas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/>
      </xdr:nvSpPr>
      <xdr:spPr>
        <a:xfrm>
          <a:off x="200025" y="6667500"/>
          <a:ext cx="3886200" cy="619125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Utilidad</a:t>
          </a:r>
          <a:r>
            <a:rPr lang="es-CO" sz="2800" b="1" baseline="0">
              <a:latin typeface="Franklin Gothic Book" panose="020B0503020102020204" pitchFamily="34" charset="0"/>
            </a:rPr>
            <a:t> Operacional</a:t>
          </a:r>
          <a:endParaRPr lang="es-CO" sz="2800" b="1"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0</xdr:col>
      <xdr:colOff>133350</xdr:colOff>
      <xdr:row>77</xdr:row>
      <xdr:rowOff>19051</xdr:rowOff>
    </xdr:from>
    <xdr:to>
      <xdr:col>5</xdr:col>
      <xdr:colOff>209550</xdr:colOff>
      <xdr:row>79</xdr:row>
      <xdr:rowOff>152401</xdr:rowOff>
    </xdr:to>
    <xdr:sp macro="" textlink="">
      <xdr:nvSpPr>
        <xdr:cNvPr id="33" name="Rectángulo: esquinas diagonales cortadas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/>
      </xdr:nvSpPr>
      <xdr:spPr>
        <a:xfrm>
          <a:off x="133350" y="10134601"/>
          <a:ext cx="3886200" cy="5143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EBITDA</a:t>
          </a:r>
        </a:p>
      </xdr:txBody>
    </xdr:sp>
    <xdr:clientData/>
  </xdr:twoCellAnchor>
  <xdr:twoCellAnchor>
    <xdr:from>
      <xdr:col>0</xdr:col>
      <xdr:colOff>142875</xdr:colOff>
      <xdr:row>94</xdr:row>
      <xdr:rowOff>85725</xdr:rowOff>
    </xdr:from>
    <xdr:to>
      <xdr:col>5</xdr:col>
      <xdr:colOff>219075</xdr:colOff>
      <xdr:row>97</xdr:row>
      <xdr:rowOff>28575</xdr:rowOff>
    </xdr:to>
    <xdr:sp macro="" textlink="">
      <xdr:nvSpPr>
        <xdr:cNvPr id="36" name="Rectángulo: esquinas diagonales cortadas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/>
      </xdr:nvSpPr>
      <xdr:spPr>
        <a:xfrm>
          <a:off x="142875" y="13439775"/>
          <a:ext cx="3886200" cy="5143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KTNO</a:t>
          </a:r>
          <a:r>
            <a:rPr lang="es-CO" sz="2800" b="1" baseline="0">
              <a:latin typeface="Franklin Gothic Book" panose="020B0503020102020204" pitchFamily="34" charset="0"/>
            </a:rPr>
            <a:t> - PKT</a:t>
          </a:r>
          <a:endParaRPr lang="es-CO" sz="2800" b="1">
            <a:latin typeface="Franklin Gothic Book" panose="020B0503020102020204" pitchFamily="34" charset="0"/>
          </a:endParaRPr>
        </a:p>
      </xdr:txBody>
    </xdr:sp>
    <xdr:clientData/>
  </xdr:twoCellAnchor>
  <xdr:twoCellAnchor>
    <xdr:from>
      <xdr:col>0</xdr:col>
      <xdr:colOff>133350</xdr:colOff>
      <xdr:row>113</xdr:row>
      <xdr:rowOff>57150</xdr:rowOff>
    </xdr:from>
    <xdr:to>
      <xdr:col>5</xdr:col>
      <xdr:colOff>209550</xdr:colOff>
      <xdr:row>116</xdr:row>
      <xdr:rowOff>0</xdr:rowOff>
    </xdr:to>
    <xdr:sp macro="" textlink="">
      <xdr:nvSpPr>
        <xdr:cNvPr id="41" name="Rectángulo: esquinas diagonales cortadas 40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/>
      </xdr:nvSpPr>
      <xdr:spPr>
        <a:xfrm>
          <a:off x="133350" y="17030700"/>
          <a:ext cx="3886200" cy="5143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PAF</a:t>
          </a:r>
        </a:p>
      </xdr:txBody>
    </xdr:sp>
    <xdr:clientData/>
  </xdr:twoCellAnchor>
  <xdr:twoCellAnchor>
    <xdr:from>
      <xdr:col>0</xdr:col>
      <xdr:colOff>209550</xdr:colOff>
      <xdr:row>130</xdr:row>
      <xdr:rowOff>152400</xdr:rowOff>
    </xdr:from>
    <xdr:to>
      <xdr:col>5</xdr:col>
      <xdr:colOff>285750</xdr:colOff>
      <xdr:row>133</xdr:row>
      <xdr:rowOff>95250</xdr:rowOff>
    </xdr:to>
    <xdr:sp macro="" textlink="">
      <xdr:nvSpPr>
        <xdr:cNvPr id="44" name="Rectángulo: esquinas diagonales cortadas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/>
      </xdr:nvSpPr>
      <xdr:spPr>
        <a:xfrm>
          <a:off x="209550" y="20364450"/>
          <a:ext cx="3886200" cy="5143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PDC - Flujo de Caja</a:t>
          </a:r>
        </a:p>
      </xdr:txBody>
    </xdr:sp>
    <xdr:clientData/>
  </xdr:twoCellAnchor>
  <xdr:twoCellAnchor>
    <xdr:from>
      <xdr:col>5</xdr:col>
      <xdr:colOff>609600</xdr:colOff>
      <xdr:row>13</xdr:row>
      <xdr:rowOff>180974</xdr:rowOff>
    </xdr:from>
    <xdr:to>
      <xdr:col>12</xdr:col>
      <xdr:colOff>685800</xdr:colOff>
      <xdr:row>31</xdr:row>
      <xdr:rowOff>27213</xdr:rowOff>
    </xdr:to>
    <xdr:graphicFrame macro="">
      <xdr:nvGraphicFramePr>
        <xdr:cNvPr id="22" name="Gráfico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219075</xdr:colOff>
      <xdr:row>14</xdr:row>
      <xdr:rowOff>19049</xdr:rowOff>
    </xdr:from>
    <xdr:to>
      <xdr:col>20</xdr:col>
      <xdr:colOff>272143</xdr:colOff>
      <xdr:row>31</xdr:row>
      <xdr:rowOff>13606</xdr:rowOff>
    </xdr:to>
    <xdr:graphicFrame macro="">
      <xdr:nvGraphicFramePr>
        <xdr:cNvPr id="23" name="Gráfico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619124</xdr:colOff>
      <xdr:row>53</xdr:row>
      <xdr:rowOff>180975</xdr:rowOff>
    </xdr:from>
    <xdr:to>
      <xdr:col>12</xdr:col>
      <xdr:colOff>666749</xdr:colOff>
      <xdr:row>69</xdr:row>
      <xdr:rowOff>66675</xdr:rowOff>
    </xdr:to>
    <xdr:graphicFrame macro="">
      <xdr:nvGraphicFramePr>
        <xdr:cNvPr id="24" name="Gráfico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200025</xdr:colOff>
      <xdr:row>54</xdr:row>
      <xdr:rowOff>19049</xdr:rowOff>
    </xdr:from>
    <xdr:to>
      <xdr:col>20</xdr:col>
      <xdr:colOff>340179</xdr:colOff>
      <xdr:row>68</xdr:row>
      <xdr:rowOff>142875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761999</xdr:colOff>
      <xdr:row>70</xdr:row>
      <xdr:rowOff>190499</xdr:rowOff>
    </xdr:from>
    <xdr:to>
      <xdr:col>12</xdr:col>
      <xdr:colOff>676274</xdr:colOff>
      <xdr:row>85</xdr:row>
      <xdr:rowOff>85724</xdr:rowOff>
    </xdr:to>
    <xdr:graphicFrame macro="">
      <xdr:nvGraphicFramePr>
        <xdr:cNvPr id="26" name="Gráfico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247650</xdr:colOff>
      <xdr:row>71</xdr:row>
      <xdr:rowOff>19050</xdr:rowOff>
    </xdr:from>
    <xdr:to>
      <xdr:col>20</xdr:col>
      <xdr:colOff>340179</xdr:colOff>
      <xdr:row>85</xdr:row>
      <xdr:rowOff>85725</xdr:rowOff>
    </xdr:to>
    <xdr:graphicFrame macro="">
      <xdr:nvGraphicFramePr>
        <xdr:cNvPr id="27" name="Gráfico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87</xdr:row>
      <xdr:rowOff>38100</xdr:rowOff>
    </xdr:from>
    <xdr:to>
      <xdr:col>12</xdr:col>
      <xdr:colOff>666750</xdr:colOff>
      <xdr:row>103</xdr:row>
      <xdr:rowOff>76200</xdr:rowOff>
    </xdr:to>
    <xdr:graphicFrame macro="">
      <xdr:nvGraphicFramePr>
        <xdr:cNvPr id="28" name="Gráfico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238124</xdr:colOff>
      <xdr:row>87</xdr:row>
      <xdr:rowOff>57150</xdr:rowOff>
    </xdr:from>
    <xdr:to>
      <xdr:col>20</xdr:col>
      <xdr:colOff>340179</xdr:colOff>
      <xdr:row>103</xdr:row>
      <xdr:rowOff>57150</xdr:rowOff>
    </xdr:to>
    <xdr:graphicFrame macro="">
      <xdr:nvGraphicFramePr>
        <xdr:cNvPr id="29" name="Gráfico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19050</xdr:colOff>
      <xdr:row>106</xdr:row>
      <xdr:rowOff>0</xdr:rowOff>
    </xdr:from>
    <xdr:to>
      <xdr:col>12</xdr:col>
      <xdr:colOff>666749</xdr:colOff>
      <xdr:row>122</xdr:row>
      <xdr:rowOff>104775</xdr:rowOff>
    </xdr:to>
    <xdr:graphicFrame macro="">
      <xdr:nvGraphicFramePr>
        <xdr:cNvPr id="30" name="Gráfico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247650</xdr:colOff>
      <xdr:row>106</xdr:row>
      <xdr:rowOff>19049</xdr:rowOff>
    </xdr:from>
    <xdr:to>
      <xdr:col>20</xdr:col>
      <xdr:colOff>285750</xdr:colOff>
      <xdr:row>122</xdr:row>
      <xdr:rowOff>9524</xdr:rowOff>
    </xdr:to>
    <xdr:graphicFrame macro="">
      <xdr:nvGraphicFramePr>
        <xdr:cNvPr id="34" name="Gráfico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761999</xdr:colOff>
      <xdr:row>130</xdr:row>
      <xdr:rowOff>0</xdr:rowOff>
    </xdr:from>
    <xdr:to>
      <xdr:col>12</xdr:col>
      <xdr:colOff>707570</xdr:colOff>
      <xdr:row>144</xdr:row>
      <xdr:rowOff>76200</xdr:rowOff>
    </xdr:to>
    <xdr:graphicFrame macro="">
      <xdr:nvGraphicFramePr>
        <xdr:cNvPr id="35" name="Gráfico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13</xdr:col>
      <xdr:colOff>285749</xdr:colOff>
      <xdr:row>130</xdr:row>
      <xdr:rowOff>-1</xdr:rowOff>
    </xdr:from>
    <xdr:to>
      <xdr:col>20</xdr:col>
      <xdr:colOff>272142</xdr:colOff>
      <xdr:row>144</xdr:row>
      <xdr:rowOff>104774</xdr:rowOff>
    </xdr:to>
    <xdr:graphicFrame macro="">
      <xdr:nvGraphicFramePr>
        <xdr:cNvPr id="37" name="Gráfico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0</xdr:colOff>
      <xdr:row>147</xdr:row>
      <xdr:rowOff>0</xdr:rowOff>
    </xdr:from>
    <xdr:to>
      <xdr:col>12</xdr:col>
      <xdr:colOff>639536</xdr:colOff>
      <xdr:row>161</xdr:row>
      <xdr:rowOff>76200</xdr:rowOff>
    </xdr:to>
    <xdr:graphicFrame macro="">
      <xdr:nvGraphicFramePr>
        <xdr:cNvPr id="38" name="Gráfico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272143</xdr:colOff>
      <xdr:row>146</xdr:row>
      <xdr:rowOff>180974</xdr:rowOff>
    </xdr:from>
    <xdr:to>
      <xdr:col>20</xdr:col>
      <xdr:colOff>204107</xdr:colOff>
      <xdr:row>161</xdr:row>
      <xdr:rowOff>133349</xdr:rowOff>
    </xdr:to>
    <xdr:graphicFrame macro="">
      <xdr:nvGraphicFramePr>
        <xdr:cNvPr id="39" name="Gráfico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727981</xdr:colOff>
      <xdr:row>163</xdr:row>
      <xdr:rowOff>36738</xdr:rowOff>
    </xdr:from>
    <xdr:to>
      <xdr:col>13</xdr:col>
      <xdr:colOff>653143</xdr:colOff>
      <xdr:row>184</xdr:row>
      <xdr:rowOff>176892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272142</xdr:colOff>
      <xdr:row>164</xdr:row>
      <xdr:rowOff>27215</xdr:rowOff>
    </xdr:from>
    <xdr:to>
      <xdr:col>5</xdr:col>
      <xdr:colOff>348342</xdr:colOff>
      <xdr:row>166</xdr:row>
      <xdr:rowOff>160565</xdr:rowOff>
    </xdr:to>
    <xdr:sp macro="" textlink="">
      <xdr:nvSpPr>
        <xdr:cNvPr id="43" name="Rectángulo: esquinas diagonales cortadas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/>
      </xdr:nvSpPr>
      <xdr:spPr>
        <a:xfrm>
          <a:off x="272142" y="26751644"/>
          <a:ext cx="3886200" cy="5143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LIQUIDEZ</a:t>
          </a:r>
        </a:p>
      </xdr:txBody>
    </xdr:sp>
    <xdr:clientData/>
  </xdr:twoCellAnchor>
  <xdr:twoCellAnchor>
    <xdr:from>
      <xdr:col>0</xdr:col>
      <xdr:colOff>340179</xdr:colOff>
      <xdr:row>148</xdr:row>
      <xdr:rowOff>40821</xdr:rowOff>
    </xdr:from>
    <xdr:to>
      <xdr:col>5</xdr:col>
      <xdr:colOff>416379</xdr:colOff>
      <xdr:row>150</xdr:row>
      <xdr:rowOff>174171</xdr:rowOff>
    </xdr:to>
    <xdr:sp macro="" textlink="">
      <xdr:nvSpPr>
        <xdr:cNvPr id="45" name="Rectángulo: esquinas diagonales cortadas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/>
      </xdr:nvSpPr>
      <xdr:spPr>
        <a:xfrm>
          <a:off x="340179" y="23717250"/>
          <a:ext cx="3886200" cy="51435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2800" b="1">
              <a:latin typeface="Franklin Gothic Book" panose="020B0503020102020204" pitchFamily="34" charset="0"/>
            </a:rPr>
            <a:t>ENDEUDAMIENTO</a:t>
          </a:r>
        </a:p>
      </xdr:txBody>
    </xdr:sp>
    <xdr:clientData/>
  </xdr:twoCellAnchor>
  <xdr:twoCellAnchor>
    <xdr:from>
      <xdr:col>14</xdr:col>
      <xdr:colOff>81643</xdr:colOff>
      <xdr:row>163</xdr:row>
      <xdr:rowOff>40822</xdr:rowOff>
    </xdr:from>
    <xdr:to>
      <xdr:col>22</xdr:col>
      <xdr:colOff>340179</xdr:colOff>
      <xdr:row>184</xdr:row>
      <xdr:rowOff>176892</xdr:rowOff>
    </xdr:to>
    <xdr:graphicFrame macro="">
      <xdr:nvGraphicFramePr>
        <xdr:cNvPr id="46" name="Gráfico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22</xdr:col>
      <xdr:colOff>734786</xdr:colOff>
      <xdr:row>163</xdr:row>
      <xdr:rowOff>68035</xdr:rowOff>
    </xdr:from>
    <xdr:to>
      <xdr:col>30</xdr:col>
      <xdr:colOff>625930</xdr:colOff>
      <xdr:row>184</xdr:row>
      <xdr:rowOff>163285</xdr:rowOff>
    </xdr:to>
    <xdr:graphicFrame macro="">
      <xdr:nvGraphicFramePr>
        <xdr:cNvPr id="47" name="Gráfico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14</xdr:col>
      <xdr:colOff>68036</xdr:colOff>
      <xdr:row>188</xdr:row>
      <xdr:rowOff>-1</xdr:rowOff>
    </xdr:from>
    <xdr:to>
      <xdr:col>22</xdr:col>
      <xdr:colOff>544285</xdr:colOff>
      <xdr:row>211</xdr:row>
      <xdr:rowOff>108856</xdr:rowOff>
    </xdr:to>
    <xdr:graphicFrame macro="">
      <xdr:nvGraphicFramePr>
        <xdr:cNvPr id="48" name="Gráfico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</xdr:col>
      <xdr:colOff>585107</xdr:colOff>
      <xdr:row>31</xdr:row>
      <xdr:rowOff>136071</xdr:rowOff>
    </xdr:from>
    <xdr:to>
      <xdr:col>12</xdr:col>
      <xdr:colOff>666750</xdr:colOff>
      <xdr:row>50</xdr:row>
      <xdr:rowOff>27214</xdr:rowOff>
    </xdr:to>
    <xdr:graphicFrame macro="">
      <xdr:nvGraphicFramePr>
        <xdr:cNvPr id="49" name="Gráfico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13</xdr:col>
      <xdr:colOff>204107</xdr:colOff>
      <xdr:row>31</xdr:row>
      <xdr:rowOff>163286</xdr:rowOff>
    </xdr:from>
    <xdr:to>
      <xdr:col>20</xdr:col>
      <xdr:colOff>285750</xdr:colOff>
      <xdr:row>50</xdr:row>
      <xdr:rowOff>54429</xdr:rowOff>
    </xdr:to>
    <xdr:graphicFrame macro="">
      <xdr:nvGraphicFramePr>
        <xdr:cNvPr id="50" name="Gráfico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0</xdr:rowOff>
    </xdr:from>
    <xdr:to>
      <xdr:col>5</xdr:col>
      <xdr:colOff>828675</xdr:colOff>
      <xdr:row>24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647700</xdr:colOff>
      <xdr:row>25</xdr:row>
      <xdr:rowOff>114300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9525</xdr:rowOff>
    </xdr:from>
    <xdr:to>
      <xdr:col>5</xdr:col>
      <xdr:colOff>781051</xdr:colOff>
      <xdr:row>27</xdr:row>
      <xdr:rowOff>85725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28575</xdr:rowOff>
    </xdr:from>
    <xdr:to>
      <xdr:col>5</xdr:col>
      <xdr:colOff>704851</xdr:colOff>
      <xdr:row>25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28575</xdr:rowOff>
    </xdr:from>
    <xdr:to>
      <xdr:col>6</xdr:col>
      <xdr:colOff>152400</xdr:colOff>
      <xdr:row>26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28575</xdr:rowOff>
    </xdr:from>
    <xdr:to>
      <xdr:col>6</xdr:col>
      <xdr:colOff>1057275</xdr:colOff>
      <xdr:row>26</xdr:row>
      <xdr:rowOff>123825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514351</xdr:colOff>
      <xdr:row>6</xdr:row>
      <xdr:rowOff>180975</xdr:rowOff>
    </xdr:from>
    <xdr:to>
      <xdr:col>15</xdr:col>
      <xdr:colOff>323851</xdr:colOff>
      <xdr:row>9</xdr:row>
      <xdr:rowOff>142874</xdr:rowOff>
    </xdr:to>
    <xdr:sp macro="" textlink="">
      <xdr:nvSpPr>
        <xdr:cNvPr id="2" name="Forma lib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 rot="17984693">
          <a:off x="18740439" y="33337"/>
          <a:ext cx="533399" cy="1209675"/>
        </a:xfrm>
        <a:custGeom>
          <a:avLst/>
          <a:gdLst>
            <a:gd name="connsiteX0" fmla="*/ 0 w 533400"/>
            <a:gd name="connsiteY0" fmla="*/ 101957 h 587732"/>
            <a:gd name="connsiteX1" fmla="*/ 238125 w 533400"/>
            <a:gd name="connsiteY1" fmla="*/ 35282 h 587732"/>
            <a:gd name="connsiteX2" fmla="*/ 533400 w 533400"/>
            <a:gd name="connsiteY2" fmla="*/ 587732 h 5877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587732">
              <a:moveTo>
                <a:pt x="0" y="101957"/>
              </a:moveTo>
              <a:cubicBezTo>
                <a:pt x="74612" y="28138"/>
                <a:pt x="149225" y="-45680"/>
                <a:pt x="238125" y="35282"/>
              </a:cubicBezTo>
              <a:cubicBezTo>
                <a:pt x="327025" y="116244"/>
                <a:pt x="533400" y="587732"/>
                <a:pt x="533400" y="587732"/>
              </a:cubicBezTo>
            </a:path>
          </a:pathLst>
        </a:cu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561975</xdr:colOff>
      <xdr:row>5</xdr:row>
      <xdr:rowOff>161927</xdr:rowOff>
    </xdr:from>
    <xdr:to>
      <xdr:col>15</xdr:col>
      <xdr:colOff>476250</xdr:colOff>
      <xdr:row>8</xdr:row>
      <xdr:rowOff>95250</xdr:rowOff>
    </xdr:to>
    <xdr:cxnSp macro="">
      <xdr:nvCxnSpPr>
        <xdr:cNvPr id="3" name="Conector angular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CxnSpPr/>
      </xdr:nvCxnSpPr>
      <xdr:spPr>
        <a:xfrm flipV="1">
          <a:off x="18449925" y="161927"/>
          <a:ext cx="1314450" cy="504823"/>
        </a:xfrm>
        <a:prstGeom prst="bentConnector3">
          <a:avLst>
            <a:gd name="adj1" fmla="val 50000"/>
          </a:avLst>
        </a:prstGeom>
        <a:ln w="730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6</xdr:row>
      <xdr:rowOff>142876</xdr:rowOff>
    </xdr:from>
    <xdr:to>
      <xdr:col>15</xdr:col>
      <xdr:colOff>666750</xdr:colOff>
      <xdr:row>9</xdr:row>
      <xdr:rowOff>66675</xdr:rowOff>
    </xdr:to>
    <xdr:cxnSp macro="">
      <xdr:nvCxnSpPr>
        <xdr:cNvPr id="4" name="Conector angular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CxnSpPr/>
      </xdr:nvCxnSpPr>
      <xdr:spPr>
        <a:xfrm flipV="1">
          <a:off x="18573750" y="333376"/>
          <a:ext cx="1381125" cy="495299"/>
        </a:xfrm>
        <a:prstGeom prst="bentConnector3">
          <a:avLst>
            <a:gd name="adj1" fmla="val 51282"/>
          </a:avLst>
        </a:prstGeom>
        <a:ln w="730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349251</xdr:colOff>
      <xdr:row>90</xdr:row>
      <xdr:rowOff>10584</xdr:rowOff>
    </xdr:from>
    <xdr:to>
      <xdr:col>18</xdr:col>
      <xdr:colOff>666750</xdr:colOff>
      <xdr:row>104</xdr:row>
      <xdr:rowOff>2117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830790</xdr:colOff>
      <xdr:row>89</xdr:row>
      <xdr:rowOff>199760</xdr:rowOff>
    </xdr:from>
    <xdr:to>
      <xdr:col>23</xdr:col>
      <xdr:colOff>1238250</xdr:colOff>
      <xdr:row>103</xdr:row>
      <xdr:rowOff>191294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1416843</xdr:colOff>
      <xdr:row>90</xdr:row>
      <xdr:rowOff>0</xdr:rowOff>
    </xdr:from>
    <xdr:to>
      <xdr:col>31</xdr:col>
      <xdr:colOff>67234</xdr:colOff>
      <xdr:row>103</xdr:row>
      <xdr:rowOff>182033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661148</xdr:colOff>
      <xdr:row>90</xdr:row>
      <xdr:rowOff>0</xdr:rowOff>
    </xdr:from>
    <xdr:to>
      <xdr:col>36</xdr:col>
      <xdr:colOff>546133</xdr:colOff>
      <xdr:row>103</xdr:row>
      <xdr:rowOff>182033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934370</xdr:colOff>
      <xdr:row>92</xdr:row>
      <xdr:rowOff>62955</xdr:rowOff>
    </xdr:from>
    <xdr:to>
      <xdr:col>34</xdr:col>
      <xdr:colOff>934370</xdr:colOff>
      <xdr:row>102</xdr:row>
      <xdr:rowOff>73539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CxnSpPr/>
      </xdr:nvCxnSpPr>
      <xdr:spPr>
        <a:xfrm flipV="1">
          <a:off x="36234020" y="18008055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300925</xdr:colOff>
      <xdr:row>92</xdr:row>
      <xdr:rowOff>86253</xdr:rowOff>
    </xdr:from>
    <xdr:to>
      <xdr:col>28</xdr:col>
      <xdr:colOff>300925</xdr:colOff>
      <xdr:row>102</xdr:row>
      <xdr:rowOff>96837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CxnSpPr/>
      </xdr:nvCxnSpPr>
      <xdr:spPr>
        <a:xfrm flipV="1">
          <a:off x="31247650" y="18031353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161925</xdr:colOff>
      <xdr:row>92</xdr:row>
      <xdr:rowOff>79203</xdr:rowOff>
    </xdr:from>
    <xdr:to>
      <xdr:col>21</xdr:col>
      <xdr:colOff>161925</xdr:colOff>
      <xdr:row>102</xdr:row>
      <xdr:rowOff>89787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CxnSpPr/>
      </xdr:nvCxnSpPr>
      <xdr:spPr>
        <a:xfrm flipV="1">
          <a:off x="26727150" y="18024303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1709058</xdr:colOff>
      <xdr:row>92</xdr:row>
      <xdr:rowOff>113997</xdr:rowOff>
    </xdr:from>
    <xdr:to>
      <xdr:col>16</xdr:col>
      <xdr:colOff>1709058</xdr:colOff>
      <xdr:row>102</xdr:row>
      <xdr:rowOff>124581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CxnSpPr/>
      </xdr:nvCxnSpPr>
      <xdr:spPr>
        <a:xfrm flipV="1">
          <a:off x="21759183" y="18059097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77</xdr:row>
          <xdr:rowOff>38100</xdr:rowOff>
        </xdr:from>
        <xdr:to>
          <xdr:col>17</xdr:col>
          <xdr:colOff>161925</xdr:colOff>
          <xdr:row>81</xdr:row>
          <xdr:rowOff>142875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F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17</xdr:col>
      <xdr:colOff>0</xdr:colOff>
      <xdr:row>7</xdr:row>
      <xdr:rowOff>0</xdr:rowOff>
    </xdr:from>
    <xdr:to>
      <xdr:col>31</xdr:col>
      <xdr:colOff>147943</xdr:colOff>
      <xdr:row>13</xdr:row>
      <xdr:rowOff>173935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0" y="381000"/>
          <a:ext cx="11254093" cy="1335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10</xdr:row>
      <xdr:rowOff>109537</xdr:rowOff>
    </xdr:from>
    <xdr:to>
      <xdr:col>15</xdr:col>
      <xdr:colOff>95250</xdr:colOff>
      <xdr:row>21</xdr:row>
      <xdr:rowOff>161925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133350</xdr:colOff>
      <xdr:row>10</xdr:row>
      <xdr:rowOff>85724</xdr:rowOff>
    </xdr:from>
    <xdr:to>
      <xdr:col>20</xdr:col>
      <xdr:colOff>19050</xdr:colOff>
      <xdr:row>21</xdr:row>
      <xdr:rowOff>171449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10</xdr:row>
      <xdr:rowOff>76200</xdr:rowOff>
    </xdr:from>
    <xdr:to>
      <xdr:col>24</xdr:col>
      <xdr:colOff>723900</xdr:colOff>
      <xdr:row>21</xdr:row>
      <xdr:rowOff>161925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466725</xdr:colOff>
      <xdr:row>22</xdr:row>
      <xdr:rowOff>109537</xdr:rowOff>
    </xdr:from>
    <xdr:to>
      <xdr:col>20</xdr:col>
      <xdr:colOff>466725</xdr:colOff>
      <xdr:row>36</xdr:row>
      <xdr:rowOff>128587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234463</xdr:colOff>
      <xdr:row>40</xdr:row>
      <xdr:rowOff>180468</xdr:rowOff>
    </xdr:from>
    <xdr:to>
      <xdr:col>11</xdr:col>
      <xdr:colOff>729638</xdr:colOff>
      <xdr:row>50</xdr:row>
      <xdr:rowOff>73269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4138" y="7657593"/>
          <a:ext cx="5791074" cy="1797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349251</xdr:colOff>
      <xdr:row>90</xdr:row>
      <xdr:rowOff>10584</xdr:rowOff>
    </xdr:from>
    <xdr:to>
      <xdr:col>19</xdr:col>
      <xdr:colOff>571501</xdr:colOff>
      <xdr:row>104</xdr:row>
      <xdr:rowOff>2117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470203</xdr:colOff>
      <xdr:row>104</xdr:row>
      <xdr:rowOff>157237</xdr:rowOff>
    </xdr:from>
    <xdr:to>
      <xdr:col>26</xdr:col>
      <xdr:colOff>326571</xdr:colOff>
      <xdr:row>118</xdr:row>
      <xdr:rowOff>39914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244930</xdr:colOff>
      <xdr:row>90</xdr:row>
      <xdr:rowOff>27214</xdr:rowOff>
    </xdr:from>
    <xdr:to>
      <xdr:col>30</xdr:col>
      <xdr:colOff>161774</xdr:colOff>
      <xdr:row>104</xdr:row>
      <xdr:rowOff>5139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592666</xdr:colOff>
      <xdr:row>90</xdr:row>
      <xdr:rowOff>0</xdr:rowOff>
    </xdr:from>
    <xdr:to>
      <xdr:col>35</xdr:col>
      <xdr:colOff>455083</xdr:colOff>
      <xdr:row>103</xdr:row>
      <xdr:rowOff>182033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100230</xdr:colOff>
      <xdr:row>92</xdr:row>
      <xdr:rowOff>84666</xdr:rowOff>
    </xdr:from>
    <xdr:to>
      <xdr:col>34</xdr:col>
      <xdr:colOff>100230</xdr:colOff>
      <xdr:row>102</xdr:row>
      <xdr:rowOff>95250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CxnSpPr/>
      </xdr:nvCxnSpPr>
      <xdr:spPr>
        <a:xfrm flipV="1">
          <a:off x="31466055" y="1806786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5069</xdr:colOff>
      <xdr:row>92</xdr:row>
      <xdr:rowOff>127676</xdr:rowOff>
    </xdr:from>
    <xdr:to>
      <xdr:col>27</xdr:col>
      <xdr:colOff>5069</xdr:colOff>
      <xdr:row>102</xdr:row>
      <xdr:rowOff>138260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CxnSpPr/>
      </xdr:nvCxnSpPr>
      <xdr:spPr>
        <a:xfrm flipV="1">
          <a:off x="26303594" y="1811087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369475</xdr:colOff>
      <xdr:row>106</xdr:row>
      <xdr:rowOff>155743</xdr:rowOff>
    </xdr:from>
    <xdr:to>
      <xdr:col>21</xdr:col>
      <xdr:colOff>369475</xdr:colOff>
      <xdr:row>116</xdr:row>
      <xdr:rowOff>57470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CxnSpPr/>
      </xdr:nvCxnSpPr>
      <xdr:spPr>
        <a:xfrm flipV="1">
          <a:off x="23696200" y="20920243"/>
          <a:ext cx="0" cy="2035327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1826720</xdr:colOff>
      <xdr:row>92</xdr:row>
      <xdr:rowOff>198041</xdr:rowOff>
    </xdr:from>
    <xdr:to>
      <xdr:col>16</xdr:col>
      <xdr:colOff>1826720</xdr:colOff>
      <xdr:row>103</xdr:row>
      <xdr:rowOff>18125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CxnSpPr/>
      </xdr:nvCxnSpPr>
      <xdr:spPr>
        <a:xfrm flipV="1">
          <a:off x="20333795" y="18181241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76</xdr:row>
          <xdr:rowOff>0</xdr:rowOff>
        </xdr:from>
        <xdr:to>
          <xdr:col>17</xdr:col>
          <xdr:colOff>714375</xdr:colOff>
          <xdr:row>81</xdr:row>
          <xdr:rowOff>28575</xdr:rowOff>
        </xdr:to>
        <xdr:sp macro="" textlink="">
          <xdr:nvSpPr>
            <xdr:cNvPr id="19457" name="CommandButton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206375</xdr:colOff>
      <xdr:row>54</xdr:row>
      <xdr:rowOff>103188</xdr:rowOff>
    </xdr:from>
    <xdr:to>
      <xdr:col>18</xdr:col>
      <xdr:colOff>190500</xdr:colOff>
      <xdr:row>54</xdr:row>
      <xdr:rowOff>111126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CxnSpPr/>
      </xdr:nvCxnSpPr>
      <xdr:spPr>
        <a:xfrm flipV="1">
          <a:off x="17284700" y="10656888"/>
          <a:ext cx="4756150" cy="7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428625</xdr:colOff>
      <xdr:row>52</xdr:row>
      <xdr:rowOff>71437</xdr:rowOff>
    </xdr:from>
    <xdr:to>
      <xdr:col>13</xdr:col>
      <xdr:colOff>428625</xdr:colOff>
      <xdr:row>54</xdr:row>
      <xdr:rowOff>111126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CxnSpPr/>
      </xdr:nvCxnSpPr>
      <xdr:spPr>
        <a:xfrm flipV="1">
          <a:off x="17506950" y="10234612"/>
          <a:ext cx="0" cy="4302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642937</xdr:colOff>
      <xdr:row>51</xdr:row>
      <xdr:rowOff>134938</xdr:rowOff>
    </xdr:from>
    <xdr:to>
      <xdr:col>13</xdr:col>
      <xdr:colOff>652463</xdr:colOff>
      <xdr:row>54</xdr:row>
      <xdr:rowOff>112714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CxnSpPr/>
      </xdr:nvCxnSpPr>
      <xdr:spPr>
        <a:xfrm flipH="1" flipV="1">
          <a:off x="17721262" y="10098088"/>
          <a:ext cx="9526" cy="5683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</xdr:colOff>
      <xdr:row>52</xdr:row>
      <xdr:rowOff>79375</xdr:rowOff>
    </xdr:from>
    <xdr:to>
      <xdr:col>14</xdr:col>
      <xdr:colOff>66676</xdr:colOff>
      <xdr:row>54</xdr:row>
      <xdr:rowOff>122240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CxnSpPr/>
      </xdr:nvCxnSpPr>
      <xdr:spPr>
        <a:xfrm flipH="1" flipV="1">
          <a:off x="18189575" y="10242550"/>
          <a:ext cx="3176" cy="4333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322263</xdr:colOff>
      <xdr:row>51</xdr:row>
      <xdr:rowOff>7938</xdr:rowOff>
    </xdr:from>
    <xdr:to>
      <xdr:col>14</xdr:col>
      <xdr:colOff>325437</xdr:colOff>
      <xdr:row>54</xdr:row>
      <xdr:rowOff>115890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CxnSpPr/>
      </xdr:nvCxnSpPr>
      <xdr:spPr>
        <a:xfrm flipV="1">
          <a:off x="18448338" y="9971088"/>
          <a:ext cx="3174" cy="6985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601663</xdr:colOff>
      <xdr:row>51</xdr:row>
      <xdr:rowOff>119063</xdr:rowOff>
    </xdr:from>
    <xdr:to>
      <xdr:col>14</xdr:col>
      <xdr:colOff>603250</xdr:colOff>
      <xdr:row>54</xdr:row>
      <xdr:rowOff>117478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CxnSpPr/>
      </xdr:nvCxnSpPr>
      <xdr:spPr>
        <a:xfrm flipV="1">
          <a:off x="18727738" y="10082213"/>
          <a:ext cx="1587" cy="5889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150813</xdr:colOff>
      <xdr:row>51</xdr:row>
      <xdr:rowOff>112713</xdr:rowOff>
    </xdr:from>
    <xdr:to>
      <xdr:col>15</xdr:col>
      <xdr:colOff>152400</xdr:colOff>
      <xdr:row>54</xdr:row>
      <xdr:rowOff>111128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CxnSpPr/>
      </xdr:nvCxnSpPr>
      <xdr:spPr>
        <a:xfrm flipV="1">
          <a:off x="19248438" y="10075863"/>
          <a:ext cx="1587" cy="5889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404812</xdr:colOff>
      <xdr:row>51</xdr:row>
      <xdr:rowOff>39688</xdr:rowOff>
    </xdr:from>
    <xdr:to>
      <xdr:col>15</xdr:col>
      <xdr:colOff>406401</xdr:colOff>
      <xdr:row>54</xdr:row>
      <xdr:rowOff>112716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CxnSpPr/>
      </xdr:nvCxnSpPr>
      <xdr:spPr>
        <a:xfrm flipH="1" flipV="1">
          <a:off x="19502437" y="10002838"/>
          <a:ext cx="1589" cy="6635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677865</xdr:colOff>
      <xdr:row>50</xdr:row>
      <xdr:rowOff>127000</xdr:rowOff>
    </xdr:from>
    <xdr:to>
      <xdr:col>15</xdr:col>
      <xdr:colOff>682625</xdr:colOff>
      <xdr:row>54</xdr:row>
      <xdr:rowOff>114305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CxnSpPr/>
      </xdr:nvCxnSpPr>
      <xdr:spPr>
        <a:xfrm flipV="1">
          <a:off x="19775490" y="9899650"/>
          <a:ext cx="4760" cy="76835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195265</xdr:colOff>
      <xdr:row>50</xdr:row>
      <xdr:rowOff>47625</xdr:rowOff>
    </xdr:from>
    <xdr:to>
      <xdr:col>16</xdr:col>
      <xdr:colOff>198437</xdr:colOff>
      <xdr:row>54</xdr:row>
      <xdr:rowOff>100018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CxnSpPr/>
      </xdr:nvCxnSpPr>
      <xdr:spPr>
        <a:xfrm flipV="1">
          <a:off x="20540665" y="9820275"/>
          <a:ext cx="3172" cy="8334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450853</xdr:colOff>
      <xdr:row>49</xdr:row>
      <xdr:rowOff>150813</xdr:rowOff>
    </xdr:from>
    <xdr:to>
      <xdr:col>16</xdr:col>
      <xdr:colOff>452437</xdr:colOff>
      <xdr:row>54</xdr:row>
      <xdr:rowOff>109543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CxnSpPr/>
      </xdr:nvCxnSpPr>
      <xdr:spPr>
        <a:xfrm flipV="1">
          <a:off x="20796253" y="9732963"/>
          <a:ext cx="1584" cy="930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682628</xdr:colOff>
      <xdr:row>50</xdr:row>
      <xdr:rowOff>63500</xdr:rowOff>
    </xdr:from>
    <xdr:to>
      <xdr:col>18</xdr:col>
      <xdr:colOff>166687</xdr:colOff>
      <xdr:row>52</xdr:row>
      <xdr:rowOff>95259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CxnSpPr/>
      </xdr:nvCxnSpPr>
      <xdr:spPr>
        <a:xfrm flipV="1">
          <a:off x="21028028" y="9836150"/>
          <a:ext cx="989009" cy="42228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309562</xdr:colOff>
      <xdr:row>54</xdr:row>
      <xdr:rowOff>134937</xdr:rowOff>
    </xdr:from>
    <xdr:to>
      <xdr:col>13</xdr:col>
      <xdr:colOff>507999</xdr:colOff>
      <xdr:row>55</xdr:row>
      <xdr:rowOff>142874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/>
      </xdr:nvSpPr>
      <xdr:spPr>
        <a:xfrm>
          <a:off x="17387887" y="10688637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</a:t>
          </a:r>
        </a:p>
      </xdr:txBody>
    </xdr:sp>
    <xdr:clientData/>
  </xdr:twoCellAnchor>
  <xdr:twoCellAnchor>
    <xdr:from>
      <xdr:col>13</xdr:col>
      <xdr:colOff>541337</xdr:colOff>
      <xdr:row>54</xdr:row>
      <xdr:rowOff>144462</xdr:rowOff>
    </xdr:from>
    <xdr:to>
      <xdr:col>13</xdr:col>
      <xdr:colOff>739774</xdr:colOff>
      <xdr:row>55</xdr:row>
      <xdr:rowOff>152399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/>
      </xdr:nvSpPr>
      <xdr:spPr>
        <a:xfrm>
          <a:off x="17619662" y="10698162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2</a:t>
          </a:r>
        </a:p>
      </xdr:txBody>
    </xdr:sp>
    <xdr:clientData/>
  </xdr:twoCellAnchor>
  <xdr:twoCellAnchor>
    <xdr:from>
      <xdr:col>13</xdr:col>
      <xdr:colOff>773112</xdr:colOff>
      <xdr:row>54</xdr:row>
      <xdr:rowOff>138112</xdr:rowOff>
    </xdr:from>
    <xdr:to>
      <xdr:col>14</xdr:col>
      <xdr:colOff>146049</xdr:colOff>
      <xdr:row>55</xdr:row>
      <xdr:rowOff>146049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/>
      </xdr:nvSpPr>
      <xdr:spPr>
        <a:xfrm>
          <a:off x="17851437" y="10691812"/>
          <a:ext cx="42068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3</a:t>
          </a:r>
        </a:p>
      </xdr:txBody>
    </xdr:sp>
    <xdr:clientData/>
  </xdr:twoCellAnchor>
  <xdr:twoCellAnchor>
    <xdr:from>
      <xdr:col>14</xdr:col>
      <xdr:colOff>203199</xdr:colOff>
      <xdr:row>54</xdr:row>
      <xdr:rowOff>155574</xdr:rowOff>
    </xdr:from>
    <xdr:to>
      <xdr:col>14</xdr:col>
      <xdr:colOff>401636</xdr:colOff>
      <xdr:row>55</xdr:row>
      <xdr:rowOff>163511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/>
      </xdr:nvSpPr>
      <xdr:spPr>
        <a:xfrm>
          <a:off x="18329274" y="10709274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4</a:t>
          </a:r>
        </a:p>
      </xdr:txBody>
    </xdr:sp>
    <xdr:clientData/>
  </xdr:twoCellAnchor>
  <xdr:twoCellAnchor>
    <xdr:from>
      <xdr:col>14</xdr:col>
      <xdr:colOff>482599</xdr:colOff>
      <xdr:row>54</xdr:row>
      <xdr:rowOff>149224</xdr:rowOff>
    </xdr:from>
    <xdr:to>
      <xdr:col>14</xdr:col>
      <xdr:colOff>681036</xdr:colOff>
      <xdr:row>55</xdr:row>
      <xdr:rowOff>157161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/>
      </xdr:nvSpPr>
      <xdr:spPr>
        <a:xfrm>
          <a:off x="18608674" y="10702924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5</a:t>
          </a:r>
        </a:p>
      </xdr:txBody>
    </xdr:sp>
    <xdr:clientData/>
  </xdr:twoCellAnchor>
  <xdr:twoCellAnchor>
    <xdr:from>
      <xdr:col>15</xdr:col>
      <xdr:colOff>31749</xdr:colOff>
      <xdr:row>54</xdr:row>
      <xdr:rowOff>166686</xdr:rowOff>
    </xdr:from>
    <xdr:to>
      <xdr:col>15</xdr:col>
      <xdr:colOff>230186</xdr:colOff>
      <xdr:row>55</xdr:row>
      <xdr:rowOff>174623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/>
      </xdr:nvSpPr>
      <xdr:spPr>
        <a:xfrm>
          <a:off x="19129374" y="10720386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6</a:t>
          </a:r>
        </a:p>
      </xdr:txBody>
    </xdr:sp>
    <xdr:clientData/>
  </xdr:twoCellAnchor>
  <xdr:twoCellAnchor>
    <xdr:from>
      <xdr:col>15</xdr:col>
      <xdr:colOff>287336</xdr:colOff>
      <xdr:row>54</xdr:row>
      <xdr:rowOff>168274</xdr:rowOff>
    </xdr:from>
    <xdr:to>
      <xdr:col>15</xdr:col>
      <xdr:colOff>485773</xdr:colOff>
      <xdr:row>55</xdr:row>
      <xdr:rowOff>176211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/>
      </xdr:nvSpPr>
      <xdr:spPr>
        <a:xfrm>
          <a:off x="19384961" y="10721974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7</a:t>
          </a:r>
        </a:p>
      </xdr:txBody>
    </xdr:sp>
    <xdr:clientData/>
  </xdr:twoCellAnchor>
  <xdr:twoCellAnchor>
    <xdr:from>
      <xdr:col>15</xdr:col>
      <xdr:colOff>534986</xdr:colOff>
      <xdr:row>54</xdr:row>
      <xdr:rowOff>161924</xdr:rowOff>
    </xdr:from>
    <xdr:to>
      <xdr:col>15</xdr:col>
      <xdr:colOff>733423</xdr:colOff>
      <xdr:row>55</xdr:row>
      <xdr:rowOff>169861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/>
      </xdr:nvSpPr>
      <xdr:spPr>
        <a:xfrm>
          <a:off x="19632611" y="10715624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8</a:t>
          </a:r>
        </a:p>
      </xdr:txBody>
    </xdr:sp>
    <xdr:clientData/>
  </xdr:twoCellAnchor>
  <xdr:twoCellAnchor>
    <xdr:from>
      <xdr:col>16</xdr:col>
      <xdr:colOff>76199</xdr:colOff>
      <xdr:row>54</xdr:row>
      <xdr:rowOff>163511</xdr:rowOff>
    </xdr:from>
    <xdr:to>
      <xdr:col>16</xdr:col>
      <xdr:colOff>274636</xdr:colOff>
      <xdr:row>55</xdr:row>
      <xdr:rowOff>171448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/>
      </xdr:nvSpPr>
      <xdr:spPr>
        <a:xfrm>
          <a:off x="20421599" y="10717211"/>
          <a:ext cx="198437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9</a:t>
          </a:r>
        </a:p>
      </xdr:txBody>
    </xdr:sp>
    <xdr:clientData/>
  </xdr:twoCellAnchor>
  <xdr:twoCellAnchor>
    <xdr:from>
      <xdr:col>16</xdr:col>
      <xdr:colOff>300036</xdr:colOff>
      <xdr:row>54</xdr:row>
      <xdr:rowOff>173036</xdr:rowOff>
    </xdr:from>
    <xdr:to>
      <xdr:col>16</xdr:col>
      <xdr:colOff>635000</xdr:colOff>
      <xdr:row>55</xdr:row>
      <xdr:rowOff>180973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/>
      </xdr:nvSpPr>
      <xdr:spPr>
        <a:xfrm>
          <a:off x="20645436" y="10726736"/>
          <a:ext cx="334964" cy="2079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10</a:t>
          </a:r>
        </a:p>
      </xdr:txBody>
    </xdr:sp>
    <xdr:clientData/>
  </xdr:twoCellAnchor>
  <xdr:twoCellAnchor>
    <xdr:from>
      <xdr:col>16</xdr:col>
      <xdr:colOff>684213</xdr:colOff>
      <xdr:row>52</xdr:row>
      <xdr:rowOff>88900</xdr:rowOff>
    </xdr:from>
    <xdr:to>
      <xdr:col>16</xdr:col>
      <xdr:colOff>690562</xdr:colOff>
      <xdr:row>54</xdr:row>
      <xdr:rowOff>95250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CxnSpPr/>
      </xdr:nvCxnSpPr>
      <xdr:spPr>
        <a:xfrm flipH="1" flipV="1">
          <a:off x="21029613" y="10252075"/>
          <a:ext cx="6349" cy="396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355599</xdr:colOff>
      <xdr:row>51</xdr:row>
      <xdr:rowOff>173036</xdr:rowOff>
    </xdr:from>
    <xdr:to>
      <xdr:col>17</xdr:col>
      <xdr:colOff>611187</xdr:colOff>
      <xdr:row>53</xdr:row>
      <xdr:rowOff>23812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/>
      </xdr:nvSpPr>
      <xdr:spPr>
        <a:xfrm>
          <a:off x="21472524" y="10136186"/>
          <a:ext cx="255588" cy="24130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g</a:t>
          </a:r>
        </a:p>
      </xdr:txBody>
    </xdr:sp>
    <xdr:clientData/>
  </xdr:twoCellAnchor>
  <xdr:twoCellAnchor>
    <xdr:from>
      <xdr:col>18</xdr:col>
      <xdr:colOff>155573</xdr:colOff>
      <xdr:row>50</xdr:row>
      <xdr:rowOff>63500</xdr:rowOff>
    </xdr:from>
    <xdr:to>
      <xdr:col>18</xdr:col>
      <xdr:colOff>158750</xdr:colOff>
      <xdr:row>54</xdr:row>
      <xdr:rowOff>111125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CxnSpPr/>
      </xdr:nvCxnSpPr>
      <xdr:spPr>
        <a:xfrm flipH="1" flipV="1">
          <a:off x="22005923" y="9836150"/>
          <a:ext cx="3177" cy="828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424655</xdr:colOff>
      <xdr:row>56</xdr:row>
      <xdr:rowOff>19843</xdr:rowOff>
    </xdr:from>
    <xdr:to>
      <xdr:col>14</xdr:col>
      <xdr:colOff>607218</xdr:colOff>
      <xdr:row>58</xdr:row>
      <xdr:rowOff>99218</xdr:rowOff>
    </xdr:to>
    <xdr:sp macro="" textlink="">
      <xdr:nvSpPr>
        <xdr:cNvPr id="27" name="Abrir llave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/>
      </xdr:nvSpPr>
      <xdr:spPr>
        <a:xfrm rot="16200000">
          <a:off x="17887949" y="10579099"/>
          <a:ext cx="460375" cy="123031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164305</xdr:colOff>
      <xdr:row>56</xdr:row>
      <xdr:rowOff>37305</xdr:rowOff>
    </xdr:from>
    <xdr:to>
      <xdr:col>16</xdr:col>
      <xdr:colOff>492125</xdr:colOff>
      <xdr:row>58</xdr:row>
      <xdr:rowOff>116680</xdr:rowOff>
    </xdr:to>
    <xdr:sp macro="" textlink="">
      <xdr:nvSpPr>
        <xdr:cNvPr id="28" name="Abrir llave 27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/>
      </xdr:nvSpPr>
      <xdr:spPr>
        <a:xfrm rot="16200000">
          <a:off x="19819540" y="10423920"/>
          <a:ext cx="460375" cy="157559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673893</xdr:colOff>
      <xdr:row>56</xdr:row>
      <xdr:rowOff>23018</xdr:rowOff>
    </xdr:from>
    <xdr:to>
      <xdr:col>18</xdr:col>
      <xdr:colOff>157956</xdr:colOff>
      <xdr:row>58</xdr:row>
      <xdr:rowOff>102393</xdr:rowOff>
    </xdr:to>
    <xdr:sp macro="" textlink="">
      <xdr:nvSpPr>
        <xdr:cNvPr id="29" name="Abrir llave 28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/>
      </xdr:nvSpPr>
      <xdr:spPr>
        <a:xfrm rot="16200000">
          <a:off x="21283612" y="10702924"/>
          <a:ext cx="460375" cy="98901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596900</xdr:colOff>
      <xdr:row>49</xdr:row>
      <xdr:rowOff>152400</xdr:rowOff>
    </xdr:from>
    <xdr:to>
      <xdr:col>16</xdr:col>
      <xdr:colOff>600076</xdr:colOff>
      <xdr:row>52</xdr:row>
      <xdr:rowOff>4764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CxnSpPr/>
      </xdr:nvCxnSpPr>
      <xdr:spPr>
        <a:xfrm flipH="1" flipV="1">
          <a:off x="20942300" y="9734550"/>
          <a:ext cx="3176" cy="4333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458789</xdr:colOff>
      <xdr:row>52</xdr:row>
      <xdr:rowOff>6351</xdr:rowOff>
    </xdr:from>
    <xdr:to>
      <xdr:col>16</xdr:col>
      <xdr:colOff>603250</xdr:colOff>
      <xdr:row>52</xdr:row>
      <xdr:rowOff>7937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CxnSpPr/>
      </xdr:nvCxnSpPr>
      <xdr:spPr>
        <a:xfrm>
          <a:off x="20804189" y="10169526"/>
          <a:ext cx="144461" cy="15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595311</xdr:colOff>
      <xdr:row>48</xdr:row>
      <xdr:rowOff>134936</xdr:rowOff>
    </xdr:from>
    <xdr:to>
      <xdr:col>18</xdr:col>
      <xdr:colOff>571500</xdr:colOff>
      <xdr:row>49</xdr:row>
      <xdr:rowOff>184150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/>
      </xdr:nvSpPr>
      <xdr:spPr>
        <a:xfrm>
          <a:off x="20940711" y="9526586"/>
          <a:ext cx="1481139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Valor</a:t>
          </a:r>
          <a:r>
            <a:rPr lang="es-CO" sz="1100" baseline="0"/>
            <a:t> de continuidad</a:t>
          </a:r>
          <a:endParaRPr lang="es-CO" sz="1100"/>
        </a:p>
      </xdr:txBody>
    </xdr:sp>
    <xdr:clientData/>
  </xdr:twoCellAnchor>
  <xdr:twoCellAnchor>
    <xdr:from>
      <xdr:col>16</xdr:col>
      <xdr:colOff>739774</xdr:colOff>
      <xdr:row>55</xdr:row>
      <xdr:rowOff>160336</xdr:rowOff>
    </xdr:from>
    <xdr:to>
      <xdr:col>18</xdr:col>
      <xdr:colOff>127000</xdr:colOff>
      <xdr:row>57</xdr:row>
      <xdr:rowOff>19050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/>
      </xdr:nvSpPr>
      <xdr:spPr>
        <a:xfrm>
          <a:off x="21085174" y="10914061"/>
          <a:ext cx="892176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Perpetuidad</a:t>
          </a:r>
        </a:p>
      </xdr:txBody>
    </xdr:sp>
    <xdr:clientData/>
  </xdr:twoCellAnchor>
  <xdr:twoCellAnchor>
    <xdr:from>
      <xdr:col>15</xdr:col>
      <xdr:colOff>249237</xdr:colOff>
      <xdr:row>55</xdr:row>
      <xdr:rowOff>177798</xdr:rowOff>
    </xdr:from>
    <xdr:to>
      <xdr:col>16</xdr:col>
      <xdr:colOff>398463</xdr:colOff>
      <xdr:row>57</xdr:row>
      <xdr:rowOff>36512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/>
      </xdr:nvSpPr>
      <xdr:spPr>
        <a:xfrm>
          <a:off x="19346862" y="10931523"/>
          <a:ext cx="1397001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Proyectado</a:t>
          </a:r>
        </a:p>
      </xdr:txBody>
    </xdr:sp>
    <xdr:clientData/>
  </xdr:twoCellAnchor>
  <xdr:twoCellAnchor>
    <xdr:from>
      <xdr:col>13</xdr:col>
      <xdr:colOff>592136</xdr:colOff>
      <xdr:row>55</xdr:row>
      <xdr:rowOff>179385</xdr:rowOff>
    </xdr:from>
    <xdr:to>
      <xdr:col>14</xdr:col>
      <xdr:colOff>492124</xdr:colOff>
      <xdr:row>57</xdr:row>
      <xdr:rowOff>38099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/>
      </xdr:nvSpPr>
      <xdr:spPr>
        <a:xfrm>
          <a:off x="17670461" y="10933110"/>
          <a:ext cx="947738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Histórico</a:t>
          </a:r>
        </a:p>
      </xdr:txBody>
    </xdr:sp>
    <xdr:clientData/>
  </xdr:twoCellAnchor>
  <xdr:twoCellAnchor>
    <xdr:from>
      <xdr:col>18</xdr:col>
      <xdr:colOff>192086</xdr:colOff>
      <xdr:row>51</xdr:row>
      <xdr:rowOff>17460</xdr:rowOff>
    </xdr:from>
    <xdr:to>
      <xdr:col>19</xdr:col>
      <xdr:colOff>357187</xdr:colOff>
      <xdr:row>53</xdr:row>
      <xdr:rowOff>79374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/>
      </xdr:nvSpPr>
      <xdr:spPr>
        <a:xfrm>
          <a:off x="22042436" y="9980610"/>
          <a:ext cx="898526" cy="45243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Gradiente de crecimiento</a:t>
          </a:r>
        </a:p>
      </xdr:txBody>
    </xdr:sp>
    <xdr:clientData/>
  </xdr:twoCellAnchor>
  <xdr:twoCellAnchor editAs="oneCell">
    <xdr:from>
      <xdr:col>7</xdr:col>
      <xdr:colOff>95251</xdr:colOff>
      <xdr:row>117</xdr:row>
      <xdr:rowOff>142875</xdr:rowOff>
    </xdr:from>
    <xdr:to>
      <xdr:col>9</xdr:col>
      <xdr:colOff>617766</xdr:colOff>
      <xdr:row>123</xdr:row>
      <xdr:rowOff>118638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6" y="23040975"/>
          <a:ext cx="3532415" cy="11378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581026</xdr:colOff>
      <xdr:row>168</xdr:row>
      <xdr:rowOff>85725</xdr:rowOff>
    </xdr:from>
    <xdr:to>
      <xdr:col>8</xdr:col>
      <xdr:colOff>1027340</xdr:colOff>
      <xdr:row>175</xdr:row>
      <xdr:rowOff>185181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6" y="32223075"/>
          <a:ext cx="3446689" cy="1432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828675</xdr:colOff>
      <xdr:row>193</xdr:row>
      <xdr:rowOff>47625</xdr:rowOff>
    </xdr:from>
    <xdr:to>
      <xdr:col>9</xdr:col>
      <xdr:colOff>838200</xdr:colOff>
      <xdr:row>194</xdr:row>
      <xdr:rowOff>133350</xdr:rowOff>
    </xdr:to>
    <xdr:cxnSp macro="">
      <xdr:nvCxnSpPr>
        <xdr:cNvPr id="39" name="Conector recto de flecha 38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CxnSpPr/>
      </xdr:nvCxnSpPr>
      <xdr:spPr>
        <a:xfrm>
          <a:off x="12954000" y="37214175"/>
          <a:ext cx="952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1400174</xdr:colOff>
      <xdr:row>196</xdr:row>
      <xdr:rowOff>62471</xdr:rowOff>
    </xdr:from>
    <xdr:to>
      <xdr:col>16</xdr:col>
      <xdr:colOff>303440</xdr:colOff>
      <xdr:row>201</xdr:row>
      <xdr:rowOff>171450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20549" y="37810046"/>
          <a:ext cx="8628290" cy="1080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1628776</xdr:colOff>
      <xdr:row>201</xdr:row>
      <xdr:rowOff>66675</xdr:rowOff>
    </xdr:from>
    <xdr:to>
      <xdr:col>5</xdr:col>
      <xdr:colOff>2706293</xdr:colOff>
      <xdr:row>204</xdr:row>
      <xdr:rowOff>19050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6" y="38785800"/>
          <a:ext cx="2706291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629478</xdr:colOff>
      <xdr:row>207</xdr:row>
      <xdr:rowOff>139974</xdr:rowOff>
    </xdr:from>
    <xdr:to>
      <xdr:col>8</xdr:col>
      <xdr:colOff>579782</xdr:colOff>
      <xdr:row>225</xdr:row>
      <xdr:rowOff>157369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1109870</xdr:colOff>
      <xdr:row>227</xdr:row>
      <xdr:rowOff>41413</xdr:rowOff>
    </xdr:from>
    <xdr:to>
      <xdr:col>9</xdr:col>
      <xdr:colOff>571500</xdr:colOff>
      <xdr:row>241</xdr:row>
      <xdr:rowOff>117613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712305</xdr:colOff>
      <xdr:row>227</xdr:row>
      <xdr:rowOff>41414</xdr:rowOff>
    </xdr:from>
    <xdr:to>
      <xdr:col>5</xdr:col>
      <xdr:colOff>993914</xdr:colOff>
      <xdr:row>241</xdr:row>
      <xdr:rowOff>117614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695739</xdr:colOff>
      <xdr:row>242</xdr:row>
      <xdr:rowOff>124239</xdr:rowOff>
    </xdr:from>
    <xdr:to>
      <xdr:col>9</xdr:col>
      <xdr:colOff>676275</xdr:colOff>
      <xdr:row>257</xdr:row>
      <xdr:rowOff>9939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690770</xdr:colOff>
      <xdr:row>258</xdr:row>
      <xdr:rowOff>75371</xdr:rowOff>
    </xdr:from>
    <xdr:to>
      <xdr:col>9</xdr:col>
      <xdr:colOff>781050</xdr:colOff>
      <xdr:row>272</xdr:row>
      <xdr:rowOff>151571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3752850</xdr:colOff>
      <xdr:row>12</xdr:row>
      <xdr:rowOff>104775</xdr:rowOff>
    </xdr:from>
    <xdr:to>
      <xdr:col>6</xdr:col>
      <xdr:colOff>600075</xdr:colOff>
      <xdr:row>12</xdr:row>
      <xdr:rowOff>123825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CxnSpPr/>
      </xdr:nvCxnSpPr>
      <xdr:spPr>
        <a:xfrm>
          <a:off x="3752850" y="9391650"/>
          <a:ext cx="8248650" cy="19050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5</xdr:row>
      <xdr:rowOff>161925</xdr:rowOff>
    </xdr:from>
    <xdr:to>
      <xdr:col>5</xdr:col>
      <xdr:colOff>704850</xdr:colOff>
      <xdr:row>12</xdr:row>
      <xdr:rowOff>114301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CxnSpPr/>
      </xdr:nvCxnSpPr>
      <xdr:spPr>
        <a:xfrm flipV="1">
          <a:off x="11049000" y="8105775"/>
          <a:ext cx="0" cy="1295401"/>
        </a:xfrm>
        <a:prstGeom prst="line">
          <a:avLst/>
        </a:prstGeom>
        <a:ln w="3175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6</xdr:row>
      <xdr:rowOff>76200</xdr:rowOff>
    </xdr:from>
    <xdr:to>
      <xdr:col>2</xdr:col>
      <xdr:colOff>200025</xdr:colOff>
      <xdr:row>12</xdr:row>
      <xdr:rowOff>85725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CxnSpPr/>
      </xdr:nvCxnSpPr>
      <xdr:spPr>
        <a:xfrm flipV="1">
          <a:off x="7162800" y="8210550"/>
          <a:ext cx="9525" cy="1162050"/>
        </a:xfrm>
        <a:prstGeom prst="line">
          <a:avLst/>
        </a:prstGeom>
        <a:ln w="31750">
          <a:solidFill>
            <a:srgbClr val="7030A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2647950</xdr:colOff>
      <xdr:row>3</xdr:row>
      <xdr:rowOff>180975</xdr:rowOff>
    </xdr:from>
    <xdr:to>
      <xdr:col>2</xdr:col>
      <xdr:colOff>676275</xdr:colOff>
      <xdr:row>6</xdr:row>
      <xdr:rowOff>47625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/>
      </xdr:nvSpPr>
      <xdr:spPr>
        <a:xfrm>
          <a:off x="6705600" y="7743825"/>
          <a:ext cx="942975" cy="438150"/>
        </a:xfrm>
        <a:prstGeom prst="rect">
          <a:avLst/>
        </a:prstGeom>
        <a:solidFill>
          <a:schemeClr val="bg1"/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Periodo de cobro</a:t>
          </a:r>
        </a:p>
      </xdr:txBody>
    </xdr:sp>
    <xdr:clientData/>
  </xdr:twoCellAnchor>
  <xdr:twoCellAnchor>
    <xdr:from>
      <xdr:col>5</xdr:col>
      <xdr:colOff>228600</xdr:colOff>
      <xdr:row>2</xdr:row>
      <xdr:rowOff>66675</xdr:rowOff>
    </xdr:from>
    <xdr:to>
      <xdr:col>6</xdr:col>
      <xdr:colOff>295275</xdr:colOff>
      <xdr:row>5</xdr:row>
      <xdr:rowOff>142875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10572750" y="7439025"/>
          <a:ext cx="1123950" cy="6477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Periodo de pago a proveedores</a:t>
          </a:r>
        </a:p>
      </xdr:txBody>
    </xdr:sp>
    <xdr:clientData/>
  </xdr:twoCellAnchor>
  <xdr:twoCellAnchor>
    <xdr:from>
      <xdr:col>1</xdr:col>
      <xdr:colOff>685800</xdr:colOff>
      <xdr:row>3</xdr:row>
      <xdr:rowOff>171450</xdr:rowOff>
    </xdr:from>
    <xdr:to>
      <xdr:col>1</xdr:col>
      <xdr:colOff>1628775</xdr:colOff>
      <xdr:row>6</xdr:row>
      <xdr:rowOff>38100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4743450" y="7734300"/>
          <a:ext cx="942975" cy="438150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Rotación de inventarios</a:t>
          </a:r>
        </a:p>
      </xdr:txBody>
    </xdr:sp>
    <xdr:clientData/>
  </xdr:twoCellAnchor>
  <xdr:twoCellAnchor>
    <xdr:from>
      <xdr:col>1</xdr:col>
      <xdr:colOff>1152525</xdr:colOff>
      <xdr:row>6</xdr:row>
      <xdr:rowOff>76200</xdr:rowOff>
    </xdr:from>
    <xdr:to>
      <xdr:col>1</xdr:col>
      <xdr:colOff>1162050</xdr:colOff>
      <xdr:row>12</xdr:row>
      <xdr:rowOff>85725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CxnSpPr/>
      </xdr:nvCxnSpPr>
      <xdr:spPr>
        <a:xfrm flipV="1">
          <a:off x="5210175" y="8210550"/>
          <a:ext cx="9525" cy="1162050"/>
        </a:xfrm>
        <a:prstGeom prst="line">
          <a:avLst/>
        </a:prstGeom>
        <a:ln w="31750">
          <a:solidFill>
            <a:schemeClr val="accent6">
              <a:lumMod val="75000"/>
            </a:schemeClr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2847975</xdr:colOff>
      <xdr:row>8</xdr:row>
      <xdr:rowOff>123825</xdr:rowOff>
    </xdr:from>
    <xdr:to>
      <xdr:col>1</xdr:col>
      <xdr:colOff>2857500</xdr:colOff>
      <xdr:row>12</xdr:row>
      <xdr:rowOff>95252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CxnSpPr/>
      </xdr:nvCxnSpPr>
      <xdr:spPr>
        <a:xfrm flipV="1">
          <a:off x="6905625" y="8648700"/>
          <a:ext cx="9525" cy="733427"/>
        </a:xfrm>
        <a:prstGeom prst="line">
          <a:avLst/>
        </a:prstGeom>
        <a:ln w="31750">
          <a:solidFill>
            <a:srgbClr val="0070C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1314450</xdr:colOff>
      <xdr:row>8</xdr:row>
      <xdr:rowOff>104775</xdr:rowOff>
    </xdr:from>
    <xdr:to>
      <xdr:col>1</xdr:col>
      <xdr:colOff>1323975</xdr:colOff>
      <xdr:row>12</xdr:row>
      <xdr:rowOff>76202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CxnSpPr/>
      </xdr:nvCxnSpPr>
      <xdr:spPr>
        <a:xfrm flipV="1">
          <a:off x="5372100" y="8629650"/>
          <a:ext cx="9525" cy="733427"/>
        </a:xfrm>
        <a:prstGeom prst="line">
          <a:avLst/>
        </a:prstGeom>
        <a:ln w="31750">
          <a:solidFill>
            <a:srgbClr val="0070C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8</xdr:row>
      <xdr:rowOff>123825</xdr:rowOff>
    </xdr:from>
    <xdr:to>
      <xdr:col>1</xdr:col>
      <xdr:colOff>2847975</xdr:colOff>
      <xdr:row>8</xdr:row>
      <xdr:rowOff>123827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CxnSpPr/>
      </xdr:nvCxnSpPr>
      <xdr:spPr>
        <a:xfrm flipV="1">
          <a:off x="5391150" y="8648700"/>
          <a:ext cx="1514475" cy="2"/>
        </a:xfrm>
        <a:prstGeom prst="line">
          <a:avLst/>
        </a:prstGeom>
        <a:ln w="31750">
          <a:solidFill>
            <a:srgbClr val="0070C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1609725</xdr:colOff>
      <xdr:row>9</xdr:row>
      <xdr:rowOff>9525</xdr:rowOff>
    </xdr:from>
    <xdr:to>
      <xdr:col>1</xdr:col>
      <xdr:colOff>2552700</xdr:colOff>
      <xdr:row>12</xdr:row>
      <xdr:rowOff>57150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/>
      </xdr:nvSpPr>
      <xdr:spPr>
        <a:xfrm>
          <a:off x="5667375" y="8724900"/>
          <a:ext cx="942975" cy="6191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Periodo</a:t>
          </a:r>
          <a:r>
            <a:rPr lang="es-CO" sz="1100" baseline="0">
              <a:solidFill>
                <a:sysClr val="windowText" lastClr="000000"/>
              </a:solidFill>
            </a:rPr>
            <a:t> de venta del cliente</a:t>
          </a:r>
          <a:endParaRPr lang="es-CO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828675</xdr:colOff>
      <xdr:row>8</xdr:row>
      <xdr:rowOff>171450</xdr:rowOff>
    </xdr:from>
    <xdr:to>
      <xdr:col>4</xdr:col>
      <xdr:colOff>828675</xdr:colOff>
      <xdr:row>13</xdr:row>
      <xdr:rowOff>171453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CxnSpPr/>
      </xdr:nvCxnSpPr>
      <xdr:spPr>
        <a:xfrm flipV="1">
          <a:off x="10058400" y="8696325"/>
          <a:ext cx="0" cy="952503"/>
        </a:xfrm>
        <a:prstGeom prst="line">
          <a:avLst/>
        </a:prstGeom>
        <a:ln w="31750">
          <a:solidFill>
            <a:srgbClr val="00B05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9</xdr:row>
      <xdr:rowOff>85725</xdr:rowOff>
    </xdr:from>
    <xdr:to>
      <xdr:col>1</xdr:col>
      <xdr:colOff>100013</xdr:colOff>
      <xdr:row>13</xdr:row>
      <xdr:rowOff>171453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CxnSpPr>
          <a:endCxn id="16" idx="2"/>
        </xdr:cNvCxnSpPr>
      </xdr:nvCxnSpPr>
      <xdr:spPr>
        <a:xfrm flipV="1">
          <a:off x="4143375" y="8801100"/>
          <a:ext cx="14288" cy="847728"/>
        </a:xfrm>
        <a:prstGeom prst="line">
          <a:avLst/>
        </a:prstGeom>
        <a:ln w="31750">
          <a:solidFill>
            <a:srgbClr val="00B05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13</xdr:row>
      <xdr:rowOff>161925</xdr:rowOff>
    </xdr:from>
    <xdr:to>
      <xdr:col>4</xdr:col>
      <xdr:colOff>838200</xdr:colOff>
      <xdr:row>13</xdr:row>
      <xdr:rowOff>171450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CxnSpPr/>
      </xdr:nvCxnSpPr>
      <xdr:spPr>
        <a:xfrm>
          <a:off x="4152900" y="9639300"/>
          <a:ext cx="5915025" cy="9525"/>
        </a:xfrm>
        <a:prstGeom prst="line">
          <a:avLst/>
        </a:prstGeom>
        <a:ln w="31750">
          <a:solidFill>
            <a:srgbClr val="00B05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3676650</xdr:colOff>
      <xdr:row>7</xdr:row>
      <xdr:rowOff>28575</xdr:rowOff>
    </xdr:from>
    <xdr:to>
      <xdr:col>1</xdr:col>
      <xdr:colOff>581025</xdr:colOff>
      <xdr:row>9</xdr:row>
      <xdr:rowOff>85725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/>
      </xdr:nvSpPr>
      <xdr:spPr>
        <a:xfrm>
          <a:off x="3676650" y="8353425"/>
          <a:ext cx="962025" cy="447675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Inicio de producción</a:t>
          </a:r>
        </a:p>
      </xdr:txBody>
    </xdr:sp>
    <xdr:clientData/>
  </xdr:twoCellAnchor>
  <xdr:twoCellAnchor>
    <xdr:from>
      <xdr:col>1</xdr:col>
      <xdr:colOff>171450</xdr:colOff>
      <xdr:row>12</xdr:row>
      <xdr:rowOff>123825</xdr:rowOff>
    </xdr:from>
    <xdr:to>
      <xdr:col>4</xdr:col>
      <xdr:colOff>790575</xdr:colOff>
      <xdr:row>13</xdr:row>
      <xdr:rowOff>161925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/>
      </xdr:nvSpPr>
      <xdr:spPr>
        <a:xfrm>
          <a:off x="4229100" y="9410700"/>
          <a:ext cx="5791200" cy="228600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Financiación</a:t>
          </a:r>
          <a:r>
            <a:rPr lang="es-CO" sz="1100" baseline="0">
              <a:solidFill>
                <a:sysClr val="windowText" lastClr="000000"/>
              </a:solidFill>
            </a:rPr>
            <a:t> con el proveedor</a:t>
          </a:r>
          <a:endParaRPr lang="es-CO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304800</xdr:colOff>
      <xdr:row>7</xdr:row>
      <xdr:rowOff>28574</xdr:rowOff>
    </xdr:from>
    <xdr:to>
      <xdr:col>5</xdr:col>
      <xdr:colOff>371475</xdr:colOff>
      <xdr:row>8</xdr:row>
      <xdr:rowOff>152399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/>
      </xdr:nvSpPr>
      <xdr:spPr>
        <a:xfrm>
          <a:off x="9534525" y="8353424"/>
          <a:ext cx="1181100" cy="323850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Fin del ciclo</a:t>
          </a:r>
        </a:p>
      </xdr:txBody>
    </xdr:sp>
    <xdr:clientData/>
  </xdr:twoCellAnchor>
  <xdr:twoCellAnchor>
    <xdr:from>
      <xdr:col>1</xdr:col>
      <xdr:colOff>180975</xdr:colOff>
      <xdr:row>10</xdr:row>
      <xdr:rowOff>19051</xdr:rowOff>
    </xdr:from>
    <xdr:to>
      <xdr:col>1</xdr:col>
      <xdr:colOff>1123950</xdr:colOff>
      <xdr:row>12</xdr:row>
      <xdr:rowOff>57151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/>
      </xdr:nvSpPr>
      <xdr:spPr>
        <a:xfrm>
          <a:off x="4238625" y="8924926"/>
          <a:ext cx="942975" cy="4191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>
              <a:solidFill>
                <a:sysClr val="windowText" lastClr="000000"/>
              </a:solidFill>
            </a:rPr>
            <a:t>Proceso</a:t>
          </a:r>
          <a:r>
            <a:rPr lang="es-CO" sz="1000" baseline="0">
              <a:solidFill>
                <a:sysClr val="windowText" lastClr="000000"/>
              </a:solidFill>
            </a:rPr>
            <a:t> propio</a:t>
          </a:r>
          <a:endParaRPr lang="es-CO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685800</xdr:colOff>
      <xdr:row>0</xdr:row>
      <xdr:rowOff>180976</xdr:rowOff>
    </xdr:from>
    <xdr:to>
      <xdr:col>1</xdr:col>
      <xdr:colOff>1628775</xdr:colOff>
      <xdr:row>3</xdr:row>
      <xdr:rowOff>28576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/>
      </xdr:nvSpPr>
      <xdr:spPr>
        <a:xfrm>
          <a:off x="4743450" y="7162801"/>
          <a:ext cx="942975" cy="4286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>
              <a:solidFill>
                <a:sysClr val="windowText" lastClr="000000"/>
              </a:solidFill>
            </a:rPr>
            <a:t>Vende la empresa</a:t>
          </a:r>
        </a:p>
      </xdr:txBody>
    </xdr:sp>
    <xdr:clientData/>
  </xdr:twoCellAnchor>
  <xdr:twoCellAnchor>
    <xdr:from>
      <xdr:col>1</xdr:col>
      <xdr:colOff>2647950</xdr:colOff>
      <xdr:row>0</xdr:row>
      <xdr:rowOff>152401</xdr:rowOff>
    </xdr:from>
    <xdr:to>
      <xdr:col>2</xdr:col>
      <xdr:colOff>676275</xdr:colOff>
      <xdr:row>3</xdr:row>
      <xdr:rowOff>1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/>
      </xdr:nvSpPr>
      <xdr:spPr>
        <a:xfrm>
          <a:off x="6705600" y="7134226"/>
          <a:ext cx="942975" cy="4286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>
              <a:solidFill>
                <a:sysClr val="windowText" lastClr="000000"/>
              </a:solidFill>
            </a:rPr>
            <a:t>Cobra a su cliente</a:t>
          </a:r>
        </a:p>
      </xdr:txBody>
    </xdr:sp>
    <xdr:clientData/>
  </xdr:twoCellAnchor>
  <xdr:twoCellAnchor>
    <xdr:from>
      <xdr:col>4</xdr:col>
      <xdr:colOff>866775</xdr:colOff>
      <xdr:row>0</xdr:row>
      <xdr:rowOff>76200</xdr:rowOff>
    </xdr:from>
    <xdr:to>
      <xdr:col>6</xdr:col>
      <xdr:colOff>523875</xdr:colOff>
      <xdr:row>2</xdr:row>
      <xdr:rowOff>28576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/>
      </xdr:nvSpPr>
      <xdr:spPr>
        <a:xfrm>
          <a:off x="10096500" y="7058025"/>
          <a:ext cx="1828800" cy="3429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>
              <a:solidFill>
                <a:sysClr val="windowText" lastClr="000000"/>
              </a:solidFill>
            </a:rPr>
            <a:t>Paga a sus proveedores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4.emf"/><Relationship Id="rId4" Type="http://schemas.openxmlformats.org/officeDocument/2006/relationships/control" Target="../activeX/activeX2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172"/>
  <sheetViews>
    <sheetView zoomScale="70" zoomScaleNormal="70" workbookViewId="0"/>
  </sheetViews>
  <sheetFormatPr baseColWidth="10" defaultRowHeight="15"/>
  <cols>
    <col min="1" max="1" width="59.7109375" style="2" customWidth="1"/>
    <col min="2" max="2" width="44.140625" style="2" bestFit="1" customWidth="1"/>
    <col min="3" max="3" width="22.5703125" style="2" customWidth="1"/>
    <col min="4" max="4" width="17.140625" style="2" customWidth="1"/>
    <col min="5" max="5" width="16.7109375" style="2" bestFit="1" customWidth="1"/>
    <col min="6" max="6" width="24.42578125" style="2" customWidth="1"/>
    <col min="7" max="7" width="24" style="2" customWidth="1"/>
    <col min="8" max="8" width="17.85546875" style="2" bestFit="1" customWidth="1"/>
    <col min="9" max="9" width="13.7109375" style="2" bestFit="1" customWidth="1"/>
    <col min="10" max="16384" width="11.42578125" style="2"/>
  </cols>
  <sheetData>
    <row r="1" spans="1:9" ht="27" thickBot="1">
      <c r="A1" s="137" t="s">
        <v>191</v>
      </c>
      <c r="B1" s="135"/>
      <c r="C1" s="135"/>
      <c r="D1" s="135"/>
      <c r="E1" s="135"/>
      <c r="F1" s="135"/>
    </row>
    <row r="3" spans="1:9" ht="26.25">
      <c r="B3" s="472" t="s">
        <v>162</v>
      </c>
      <c r="C3" s="472"/>
      <c r="D3" s="472"/>
      <c r="E3" s="472"/>
      <c r="F3" s="472"/>
      <c r="G3" s="472"/>
    </row>
    <row r="5" spans="1:9" ht="15.75" thickBot="1"/>
    <row r="6" spans="1:9" ht="27.75" customHeight="1">
      <c r="B6" s="469" t="s">
        <v>181</v>
      </c>
      <c r="C6" s="470"/>
      <c r="D6" s="470"/>
      <c r="E6" s="470"/>
      <c r="F6" s="470"/>
      <c r="G6" s="471"/>
    </row>
    <row r="7" spans="1:9" ht="20.25" thickBot="1">
      <c r="B7" s="466" t="s">
        <v>76</v>
      </c>
      <c r="C7" s="467"/>
      <c r="D7" s="467"/>
      <c r="E7" s="467"/>
      <c r="F7" s="467"/>
      <c r="G7" s="468"/>
    </row>
    <row r="8" spans="1:9" ht="15.75" thickBot="1">
      <c r="B8" s="15"/>
      <c r="C8" s="15"/>
      <c r="D8" s="15"/>
      <c r="E8" s="15"/>
    </row>
    <row r="9" spans="1:9" ht="20.25">
      <c r="B9" s="35"/>
      <c r="C9" s="36">
        <v>2016</v>
      </c>
      <c r="D9" s="36">
        <v>2017</v>
      </c>
      <c r="E9" s="36">
        <v>2018</v>
      </c>
      <c r="F9" s="36">
        <v>2019</v>
      </c>
      <c r="G9" s="37">
        <v>2020</v>
      </c>
    </row>
    <row r="10" spans="1:9" ht="15.75">
      <c r="B10" s="32" t="s">
        <v>77</v>
      </c>
      <c r="C10" s="33"/>
      <c r="D10" s="33"/>
      <c r="E10" s="33"/>
      <c r="F10" s="15"/>
      <c r="G10" s="20"/>
    </row>
    <row r="11" spans="1:9" ht="15.75">
      <c r="B11" s="32" t="s">
        <v>78</v>
      </c>
      <c r="C11" s="33"/>
      <c r="D11" s="33"/>
      <c r="E11" s="33"/>
      <c r="F11" s="15"/>
      <c r="G11" s="20"/>
    </row>
    <row r="12" spans="1:9" ht="15.75">
      <c r="B12" s="31" t="s">
        <v>79</v>
      </c>
      <c r="C12" s="103">
        <v>577436825.11000001</v>
      </c>
      <c r="D12" s="103">
        <v>635552182.89999998</v>
      </c>
      <c r="E12" s="103">
        <v>923368854.54000008</v>
      </c>
      <c r="F12" s="103">
        <v>6525458484.6300001</v>
      </c>
      <c r="G12" s="106">
        <v>20263865147.600002</v>
      </c>
    </row>
    <row r="13" spans="1:9" ht="15.75">
      <c r="B13" s="31" t="s">
        <v>80</v>
      </c>
      <c r="C13" s="103">
        <v>0</v>
      </c>
      <c r="D13" s="103">
        <v>0</v>
      </c>
      <c r="E13" s="103">
        <v>0</v>
      </c>
      <c r="F13" s="103">
        <v>0</v>
      </c>
      <c r="G13" s="106">
        <v>0</v>
      </c>
    </row>
    <row r="14" spans="1:9" ht="15.75">
      <c r="B14" s="123" t="s">
        <v>81</v>
      </c>
      <c r="C14" s="124">
        <v>11385509735.380001</v>
      </c>
      <c r="D14" s="124">
        <v>10694903131.379997</v>
      </c>
      <c r="E14" s="124">
        <v>20055814840.639999</v>
      </c>
      <c r="F14" s="124">
        <v>25868895297.710007</v>
      </c>
      <c r="G14" s="125">
        <v>22731466212.569992</v>
      </c>
      <c r="H14" s="2">
        <f>+E14/D14-1</f>
        <v>0.87526848951011815</v>
      </c>
      <c r="I14" s="2">
        <f>+G14/F14-1</f>
        <v>-0.12128191208140804</v>
      </c>
    </row>
    <row r="15" spans="1:9" ht="15.75">
      <c r="B15" s="31" t="s">
        <v>82</v>
      </c>
      <c r="C15" s="103">
        <v>2473248785.8400002</v>
      </c>
      <c r="D15" s="103">
        <v>2535358837.8000007</v>
      </c>
      <c r="E15" s="103">
        <v>2815452942.3699999</v>
      </c>
      <c r="F15" s="103">
        <v>8577058239.7800007</v>
      </c>
      <c r="G15" s="106">
        <v>21630543917.52</v>
      </c>
    </row>
    <row r="16" spans="1:9" ht="15.75">
      <c r="B16" s="31" t="s">
        <v>83</v>
      </c>
      <c r="C16" s="103">
        <v>457414678.56999999</v>
      </c>
      <c r="D16" s="103">
        <v>215298906.37</v>
      </c>
      <c r="E16" s="103">
        <v>87286738.689999998</v>
      </c>
      <c r="F16" s="103">
        <v>168328628.94</v>
      </c>
      <c r="G16" s="106">
        <v>638885425.25999999</v>
      </c>
    </row>
    <row r="17" spans="2:8" ht="15.75">
      <c r="B17" s="32" t="s">
        <v>84</v>
      </c>
      <c r="C17" s="102">
        <f>SUM(C12:C16)</f>
        <v>14893610024.900002</v>
      </c>
      <c r="D17" s="102">
        <f>SUM(D12:D16)</f>
        <v>14081113058.449999</v>
      </c>
      <c r="E17" s="102">
        <f>SUM(E12:E16)</f>
        <v>23881923376.239998</v>
      </c>
      <c r="F17" s="102">
        <f>SUM(F12:F16)</f>
        <v>41139740651.060013</v>
      </c>
      <c r="G17" s="107">
        <f>SUM(G12:G16)</f>
        <v>65264760702.950005</v>
      </c>
    </row>
    <row r="18" spans="2:8" ht="15.75">
      <c r="B18" s="31"/>
      <c r="C18" s="103"/>
      <c r="D18" s="103"/>
      <c r="E18" s="103"/>
      <c r="F18" s="103"/>
      <c r="G18" s="106"/>
    </row>
    <row r="19" spans="2:8" ht="15.75">
      <c r="B19" s="32" t="s">
        <v>85</v>
      </c>
      <c r="C19" s="103"/>
      <c r="D19" s="103"/>
      <c r="E19" s="103"/>
      <c r="F19" s="103"/>
      <c r="G19" s="106"/>
    </row>
    <row r="20" spans="2:8" ht="15.75">
      <c r="B20" s="31" t="s">
        <v>80</v>
      </c>
      <c r="C20" s="103">
        <v>315198869.09000003</v>
      </c>
      <c r="D20" s="103">
        <v>313443626.69999999</v>
      </c>
      <c r="E20" s="103">
        <v>170681517.13999999</v>
      </c>
      <c r="F20" s="103">
        <v>10683510</v>
      </c>
      <c r="G20" s="106">
        <v>49683510</v>
      </c>
    </row>
    <row r="21" spans="2:8" ht="15.75">
      <c r="B21" s="31" t="s">
        <v>86</v>
      </c>
      <c r="C21" s="103">
        <v>7434829283.1700001</v>
      </c>
      <c r="D21" s="103">
        <v>11010424766.040001</v>
      </c>
      <c r="E21" s="103">
        <v>11949162213.34</v>
      </c>
      <c r="F21" s="103">
        <v>14026059862.77</v>
      </c>
      <c r="G21" s="106">
        <v>16912503053.120003</v>
      </c>
    </row>
    <row r="22" spans="2:8" ht="15.75">
      <c r="B22" s="31" t="s">
        <v>87</v>
      </c>
      <c r="C22" s="103">
        <v>8863280753.7800007</v>
      </c>
      <c r="D22" s="103">
        <v>8259711192.4274998</v>
      </c>
      <c r="E22" s="103">
        <v>7857112029.8400002</v>
      </c>
      <c r="F22" s="103">
        <v>7949091527.6599998</v>
      </c>
      <c r="G22" s="106">
        <v>7813014062.4299994</v>
      </c>
    </row>
    <row r="23" spans="2:8" ht="15.75">
      <c r="B23" s="31" t="s">
        <v>88</v>
      </c>
      <c r="C23" s="103">
        <v>160000000</v>
      </c>
      <c r="D23" s="103">
        <v>160000000</v>
      </c>
      <c r="E23" s="103">
        <v>0</v>
      </c>
      <c r="F23" s="103">
        <v>0</v>
      </c>
      <c r="G23" s="106">
        <v>0</v>
      </c>
    </row>
    <row r="24" spans="2:8" ht="15.75">
      <c r="B24" s="31" t="s">
        <v>89</v>
      </c>
      <c r="C24" s="103">
        <v>0</v>
      </c>
      <c r="D24" s="103">
        <v>18980476.91</v>
      </c>
      <c r="E24" s="103">
        <v>18980476.91</v>
      </c>
      <c r="F24" s="103">
        <v>0</v>
      </c>
      <c r="G24" s="106">
        <v>0</v>
      </c>
    </row>
    <row r="25" spans="2:8" ht="15.75">
      <c r="B25" s="32" t="s">
        <v>90</v>
      </c>
      <c r="C25" s="102">
        <f>SUM(C20:C24)</f>
        <v>16773308906.040001</v>
      </c>
      <c r="D25" s="102">
        <f>SUM(D20:D24)</f>
        <v>19762560062.077503</v>
      </c>
      <c r="E25" s="102">
        <f>SUM(E20:E24)</f>
        <v>19995936237.23</v>
      </c>
      <c r="F25" s="102">
        <f>SUM(F20:F24)</f>
        <v>21985834900.43</v>
      </c>
      <c r="G25" s="107">
        <f>SUM(G20:G24)</f>
        <v>24775200625.550003</v>
      </c>
    </row>
    <row r="26" spans="2:8" ht="15.75">
      <c r="B26" s="32" t="s">
        <v>91</v>
      </c>
      <c r="C26" s="102">
        <f>C17+C25</f>
        <v>31666918930.940002</v>
      </c>
      <c r="D26" s="102">
        <f>D17+D25</f>
        <v>33843673120.527504</v>
      </c>
      <c r="E26" s="102">
        <f>E17+E25</f>
        <v>43877859613.470001</v>
      </c>
      <c r="F26" s="102">
        <f>F17+F25</f>
        <v>63125575551.490013</v>
      </c>
      <c r="G26" s="107">
        <f>G17+G25</f>
        <v>90039961328.5</v>
      </c>
    </row>
    <row r="27" spans="2:8" ht="15.75">
      <c r="B27" s="31"/>
      <c r="C27" s="103"/>
      <c r="D27" s="103"/>
      <c r="E27" s="103"/>
      <c r="F27" s="103"/>
      <c r="G27" s="106"/>
    </row>
    <row r="28" spans="2:8" ht="15.75">
      <c r="B28" s="32" t="s">
        <v>92</v>
      </c>
      <c r="C28" s="103"/>
      <c r="D28" s="103"/>
      <c r="E28" s="103"/>
      <c r="F28" s="103"/>
      <c r="G28" s="106"/>
    </row>
    <row r="29" spans="2:8" ht="15.75">
      <c r="B29" s="32" t="s">
        <v>93</v>
      </c>
      <c r="C29" s="103"/>
      <c r="D29" s="103"/>
      <c r="E29" s="103"/>
      <c r="F29" s="103"/>
      <c r="G29" s="106"/>
    </row>
    <row r="30" spans="2:8" ht="15.75">
      <c r="B30" s="31" t="s">
        <v>94</v>
      </c>
      <c r="C30" s="103">
        <v>1455671763.8599999</v>
      </c>
      <c r="D30" s="103">
        <v>329220969.63999999</v>
      </c>
      <c r="E30" s="103">
        <v>485354357.98000002</v>
      </c>
      <c r="F30" s="103">
        <v>570874052.06000006</v>
      </c>
      <c r="G30" s="106">
        <v>0</v>
      </c>
    </row>
    <row r="31" spans="2:8" ht="15.75">
      <c r="B31" s="123" t="s">
        <v>178</v>
      </c>
      <c r="C31" s="124">
        <v>4434916898</v>
      </c>
      <c r="D31" s="124">
        <v>4724854964.2700005</v>
      </c>
      <c r="E31" s="124">
        <v>12411325133.240004</v>
      </c>
      <c r="F31" s="124">
        <v>31859233808.339993</v>
      </c>
      <c r="G31" s="125">
        <v>57190679522.930008</v>
      </c>
      <c r="H31" s="106"/>
    </row>
    <row r="32" spans="2:8" ht="15.75">
      <c r="B32" s="31" t="s">
        <v>120</v>
      </c>
      <c r="C32" s="103">
        <v>296129152.51999998</v>
      </c>
      <c r="D32" s="103">
        <v>393856735.27000004</v>
      </c>
      <c r="E32" s="103">
        <v>524505882.86000001</v>
      </c>
      <c r="F32" s="103">
        <v>542258827.32999992</v>
      </c>
      <c r="G32" s="106">
        <v>446532152.83000004</v>
      </c>
    </row>
    <row r="33" spans="2:7" ht="15.75">
      <c r="B33" s="31" t="s">
        <v>95</v>
      </c>
      <c r="C33" s="103">
        <v>1663303000</v>
      </c>
      <c r="D33" s="103">
        <v>1698723388.7332048</v>
      </c>
      <c r="E33" s="103">
        <v>1424459000</v>
      </c>
      <c r="F33" s="103">
        <v>322691667.31</v>
      </c>
      <c r="G33" s="106">
        <v>1833951727.4400001</v>
      </c>
    </row>
    <row r="34" spans="2:7" ht="15.75">
      <c r="B34" s="31" t="s">
        <v>96</v>
      </c>
      <c r="C34" s="103">
        <v>46710300.189999998</v>
      </c>
      <c r="D34" s="103">
        <v>213637756.61000001</v>
      </c>
      <c r="E34" s="103">
        <v>158150755.53</v>
      </c>
      <c r="F34" s="103">
        <v>45686502</v>
      </c>
      <c r="G34" s="106">
        <v>29146643</v>
      </c>
    </row>
    <row r="35" spans="2:7" ht="15.75">
      <c r="B35" s="32" t="s">
        <v>97</v>
      </c>
      <c r="C35" s="102">
        <f>SUM(C30:C34)</f>
        <v>7896731114.5699987</v>
      </c>
      <c r="D35" s="102">
        <f>SUM(D30:D34)</f>
        <v>7360293814.5232058</v>
      </c>
      <c r="E35" s="102">
        <f>SUM(E30:E34)</f>
        <v>15003795129.610004</v>
      </c>
      <c r="F35" s="102">
        <f>SUM(F30:F34)</f>
        <v>33340744857.039997</v>
      </c>
      <c r="G35" s="107">
        <f>SUM(G30:G34)</f>
        <v>59500310046.200012</v>
      </c>
    </row>
    <row r="36" spans="2:7" ht="15.75">
      <c r="B36" s="31"/>
      <c r="C36" s="103"/>
      <c r="D36" s="103"/>
      <c r="E36" s="103"/>
      <c r="F36" s="103"/>
      <c r="G36" s="106"/>
    </row>
    <row r="37" spans="2:7" ht="15.75">
      <c r="B37" s="32" t="s">
        <v>98</v>
      </c>
      <c r="C37" s="103"/>
      <c r="D37" s="103"/>
      <c r="E37" s="103"/>
      <c r="F37" s="103"/>
      <c r="G37" s="106"/>
    </row>
    <row r="38" spans="2:7" ht="15.75">
      <c r="B38" s="31" t="s">
        <v>94</v>
      </c>
      <c r="C38" s="103">
        <v>9317447893.4500008</v>
      </c>
      <c r="D38" s="103">
        <v>9924850657.5</v>
      </c>
      <c r="E38" s="103">
        <v>10003132713</v>
      </c>
      <c r="F38" s="103">
        <v>9948757958.8699989</v>
      </c>
      <c r="G38" s="106">
        <v>9976127172.5499992</v>
      </c>
    </row>
    <row r="39" spans="2:7" ht="15.75">
      <c r="B39" s="31" t="s">
        <v>99</v>
      </c>
      <c r="C39" s="103">
        <v>421921000</v>
      </c>
      <c r="D39" s="103">
        <v>421920000</v>
      </c>
      <c r="E39" s="103">
        <v>304164000</v>
      </c>
      <c r="F39" s="103">
        <v>186408000</v>
      </c>
      <c r="G39" s="106">
        <v>68652000</v>
      </c>
    </row>
    <row r="40" spans="2:7" ht="15.75">
      <c r="B40" s="31" t="s">
        <v>156</v>
      </c>
      <c r="C40" s="103">
        <v>9842933055.1399994</v>
      </c>
      <c r="D40" s="103">
        <v>9747490312.4000015</v>
      </c>
      <c r="E40" s="103">
        <v>9788764756.1799984</v>
      </c>
      <c r="F40" s="103">
        <v>9694556162.0400009</v>
      </c>
      <c r="G40" s="106">
        <v>9914456921.0100002</v>
      </c>
    </row>
    <row r="41" spans="2:7" ht="15.75">
      <c r="B41" s="31" t="s">
        <v>96</v>
      </c>
      <c r="C41" s="103">
        <v>86921281.469999999</v>
      </c>
      <c r="D41" s="103">
        <v>164915997.99000001</v>
      </c>
      <c r="E41" s="103">
        <v>256589228.62</v>
      </c>
      <c r="F41" s="103">
        <v>26554190.82</v>
      </c>
      <c r="G41" s="106">
        <v>0</v>
      </c>
    </row>
    <row r="42" spans="2:7" ht="15.75">
      <c r="B42" s="32" t="s">
        <v>148</v>
      </c>
      <c r="C42" s="102">
        <f t="shared" ref="C42:G42" si="0">SUM(C38:C41)</f>
        <v>19669223230.060001</v>
      </c>
      <c r="D42" s="102">
        <f t="shared" si="0"/>
        <v>20259176967.890003</v>
      </c>
      <c r="E42" s="102">
        <f t="shared" si="0"/>
        <v>20352650697.799999</v>
      </c>
      <c r="F42" s="102">
        <f t="shared" si="0"/>
        <v>19856276311.73</v>
      </c>
      <c r="G42" s="107">
        <f t="shared" si="0"/>
        <v>19959236093.559998</v>
      </c>
    </row>
    <row r="43" spans="2:7" ht="15.75">
      <c r="B43" s="32" t="s">
        <v>100</v>
      </c>
      <c r="C43" s="102">
        <f t="shared" ref="C43:G43" si="1">C35+C42</f>
        <v>27565954344.630001</v>
      </c>
      <c r="D43" s="102">
        <f t="shared" si="1"/>
        <v>27619470782.413208</v>
      </c>
      <c r="E43" s="102">
        <f t="shared" si="1"/>
        <v>35356445827.410004</v>
      </c>
      <c r="F43" s="102">
        <f t="shared" si="1"/>
        <v>53197021168.769997</v>
      </c>
      <c r="G43" s="107">
        <f t="shared" si="1"/>
        <v>79459546139.76001</v>
      </c>
    </row>
    <row r="44" spans="2:7" ht="15.75">
      <c r="B44" s="31"/>
      <c r="C44" s="103"/>
      <c r="D44" s="103"/>
      <c r="E44" s="103"/>
      <c r="F44" s="103"/>
      <c r="G44" s="106"/>
    </row>
    <row r="45" spans="2:7" ht="15.75">
      <c r="B45" s="32" t="s">
        <v>101</v>
      </c>
      <c r="C45" s="103"/>
      <c r="D45" s="103"/>
      <c r="E45" s="103"/>
      <c r="F45" s="103"/>
      <c r="G45" s="106"/>
    </row>
    <row r="46" spans="2:7" ht="15.75">
      <c r="B46" s="31" t="s">
        <v>102</v>
      </c>
      <c r="C46" s="103">
        <v>3000000000</v>
      </c>
      <c r="D46" s="103">
        <v>3000000000</v>
      </c>
      <c r="E46" s="103">
        <v>3000000000</v>
      </c>
      <c r="F46" s="103">
        <v>3000000000</v>
      </c>
      <c r="G46" s="106">
        <v>3000000000</v>
      </c>
    </row>
    <row r="47" spans="2:7" ht="15.75">
      <c r="B47" s="31" t="s">
        <v>103</v>
      </c>
      <c r="C47" s="103">
        <v>0</v>
      </c>
      <c r="D47" s="103">
        <v>0</v>
      </c>
      <c r="E47" s="103">
        <v>0</v>
      </c>
      <c r="F47" s="103">
        <v>0</v>
      </c>
      <c r="G47" s="106">
        <v>0</v>
      </c>
    </row>
    <row r="48" spans="2:7" ht="15.75">
      <c r="B48" s="31" t="s">
        <v>157</v>
      </c>
      <c r="C48" s="103">
        <v>-3713038753</v>
      </c>
      <c r="D48" s="103">
        <v>-3713038753</v>
      </c>
      <c r="E48" s="103">
        <v>-3713038753</v>
      </c>
      <c r="F48" s="103">
        <v>-3713038753</v>
      </c>
      <c r="G48" s="106">
        <v>-3713038753</v>
      </c>
    </row>
    <row r="49" spans="2:10" ht="15.75">
      <c r="B49" s="31" t="s">
        <v>104</v>
      </c>
      <c r="C49" s="103">
        <v>493898943</v>
      </c>
      <c r="D49" s="103">
        <v>493898943.99000001</v>
      </c>
      <c r="E49" s="103">
        <v>493898943.99000001</v>
      </c>
      <c r="F49" s="103">
        <v>493898943.99000001</v>
      </c>
      <c r="G49" s="106">
        <v>493898943.99000001</v>
      </c>
    </row>
    <row r="50" spans="2:10" ht="15.75">
      <c r="B50" s="31" t="s">
        <v>105</v>
      </c>
      <c r="C50" s="103">
        <v>1664069505.5899968</v>
      </c>
      <c r="D50" s="103">
        <v>2123237759.9743004</v>
      </c>
      <c r="E50" s="103">
        <v>2297211449</v>
      </c>
      <c r="F50" s="103">
        <v>1407140597</v>
      </c>
      <c r="G50" s="106">
        <v>651860806.84999895</v>
      </c>
    </row>
    <row r="51" spans="2:10" ht="15.75">
      <c r="B51" s="31" t="s">
        <v>155</v>
      </c>
      <c r="C51" s="103">
        <v>2656034891.1399927</v>
      </c>
      <c r="D51" s="103">
        <v>4320104387.1499996</v>
      </c>
      <c r="E51" s="103">
        <v>6443342145.7799997</v>
      </c>
      <c r="F51" s="103">
        <v>8740553594.7800007</v>
      </c>
      <c r="G51" s="106">
        <v>10147694191.780001</v>
      </c>
    </row>
    <row r="52" spans="2:10" ht="15.75">
      <c r="B52" s="32" t="s">
        <v>106</v>
      </c>
      <c r="C52" s="102">
        <f>SUM(C46:C51)</f>
        <v>4100964586.7299895</v>
      </c>
      <c r="D52" s="102">
        <f>SUM(D46:D51)</f>
        <v>6224202338.1142998</v>
      </c>
      <c r="E52" s="102">
        <f>SUM(E46:E51)</f>
        <v>8521413785.7699995</v>
      </c>
      <c r="F52" s="102">
        <f>SUM(F46:F51)</f>
        <v>9928554382.7700005</v>
      </c>
      <c r="G52" s="107">
        <f>SUM(G46:G51)</f>
        <v>10580415189.619999</v>
      </c>
    </row>
    <row r="53" spans="2:10" ht="16.5" thickBot="1">
      <c r="B53" s="34" t="s">
        <v>107</v>
      </c>
      <c r="C53" s="108">
        <f>C43+C52</f>
        <v>31666918931.359989</v>
      </c>
      <c r="D53" s="108">
        <f>D43+D52</f>
        <v>33843673120.527508</v>
      </c>
      <c r="E53" s="108">
        <f>E43+E52</f>
        <v>43877859613.18</v>
      </c>
      <c r="F53" s="108">
        <f>F43+F52</f>
        <v>63125575551.539993</v>
      </c>
      <c r="G53" s="109">
        <f>G43+G52</f>
        <v>90039961329.380005</v>
      </c>
    </row>
    <row r="54" spans="2:10" ht="16.5" thickBot="1">
      <c r="B54" s="44" t="s">
        <v>108</v>
      </c>
      <c r="C54" s="104">
        <f>C26-C53</f>
        <v>-0.41998672485351563</v>
      </c>
      <c r="D54" s="104">
        <f>D26-D53</f>
        <v>0</v>
      </c>
      <c r="E54" s="104">
        <f>E26-E53</f>
        <v>0.29000091552734375</v>
      </c>
      <c r="F54" s="104">
        <f>F26-F53</f>
        <v>-4.998016357421875E-2</v>
      </c>
      <c r="G54" s="105">
        <f>G26-G53</f>
        <v>-0.8800048828125</v>
      </c>
    </row>
    <row r="55" spans="2:10">
      <c r="B55" s="1" t="s">
        <v>109</v>
      </c>
    </row>
    <row r="56" spans="2:10" ht="15.75" thickBot="1"/>
    <row r="57" spans="2:10" ht="27.75" customHeight="1">
      <c r="B57" s="469" t="str">
        <f>B6</f>
        <v>FARMACÉUTICAS SAS</v>
      </c>
      <c r="C57" s="470"/>
      <c r="D57" s="470"/>
      <c r="E57" s="470"/>
      <c r="F57" s="470"/>
      <c r="G57" s="471"/>
    </row>
    <row r="58" spans="2:10" ht="20.25" thickBot="1">
      <c r="B58" s="466" t="s">
        <v>110</v>
      </c>
      <c r="C58" s="467"/>
      <c r="D58" s="467"/>
      <c r="E58" s="467"/>
      <c r="F58" s="467"/>
      <c r="G58" s="468"/>
    </row>
    <row r="59" spans="2:10" ht="20.25">
      <c r="B59" s="35"/>
      <c r="C59" s="36">
        <f>C9</f>
        <v>2016</v>
      </c>
      <c r="D59" s="36">
        <f>D9</f>
        <v>2017</v>
      </c>
      <c r="E59" s="36">
        <f>E9</f>
        <v>2018</v>
      </c>
      <c r="F59" s="36">
        <f>F9</f>
        <v>2019</v>
      </c>
      <c r="G59" s="37">
        <f>G9</f>
        <v>2020</v>
      </c>
    </row>
    <row r="60" spans="2:10" ht="20.25">
      <c r="B60" s="31"/>
      <c r="C60" s="38"/>
      <c r="D60" s="38"/>
      <c r="E60" s="38"/>
      <c r="F60" s="15"/>
      <c r="G60" s="20"/>
      <c r="I60" s="134"/>
    </row>
    <row r="61" spans="2:10" ht="15.75">
      <c r="B61" s="31" t="s">
        <v>111</v>
      </c>
      <c r="C61" s="103">
        <v>23022505394.929996</v>
      </c>
      <c r="D61" s="103">
        <v>26779815999</v>
      </c>
      <c r="E61" s="103">
        <v>32806589929.220009</v>
      </c>
      <c r="F61" s="103">
        <v>48267951070.199997</v>
      </c>
      <c r="G61" s="106">
        <v>51117452420.909996</v>
      </c>
      <c r="H61" s="133">
        <f>+G61/F61-1</f>
        <v>5.903505923766561E-2</v>
      </c>
      <c r="I61" s="132">
        <f>+F61/E61-1</f>
        <v>0.47128827392111661</v>
      </c>
      <c r="J61" s="132">
        <f>+E61/D61-1</f>
        <v>0.22504911648552994</v>
      </c>
    </row>
    <row r="62" spans="2:10" ht="15.75">
      <c r="B62" s="31" t="s">
        <v>112</v>
      </c>
      <c r="C62" s="103">
        <v>5615237133.5900002</v>
      </c>
      <c r="D62" s="103">
        <v>7173321978.9700012</v>
      </c>
      <c r="E62" s="103">
        <v>11184452872.790001</v>
      </c>
      <c r="F62" s="103">
        <v>25967121899.380001</v>
      </c>
      <c r="G62" s="106">
        <v>32551649042.330002</v>
      </c>
      <c r="H62" s="133">
        <f>+G62/F62-1</f>
        <v>0.25357169610341823</v>
      </c>
      <c r="I62" s="133">
        <f>+F62/E62-1</f>
        <v>1.3217158849633037</v>
      </c>
      <c r="J62" s="133">
        <f>+E62/D62-1</f>
        <v>0.55917340746440991</v>
      </c>
    </row>
    <row r="63" spans="2:10" ht="15.75">
      <c r="B63" s="31"/>
      <c r="C63" s="39"/>
      <c r="D63" s="39"/>
      <c r="E63" s="39"/>
      <c r="F63" s="39"/>
      <c r="G63" s="40"/>
    </row>
    <row r="64" spans="2:10" ht="15.75">
      <c r="B64" s="32" t="s">
        <v>113</v>
      </c>
      <c r="C64" s="102">
        <f t="shared" ref="C64:G64" si="2">C61-C62</f>
        <v>17407268261.339996</v>
      </c>
      <c r="D64" s="102">
        <f t="shared" si="2"/>
        <v>19606494020.029999</v>
      </c>
      <c r="E64" s="102">
        <f t="shared" si="2"/>
        <v>21622137056.430008</v>
      </c>
      <c r="F64" s="102">
        <f t="shared" si="2"/>
        <v>22300829170.819996</v>
      </c>
      <c r="G64" s="107">
        <f t="shared" si="2"/>
        <v>18565803378.579994</v>
      </c>
    </row>
    <row r="65" spans="1:9" ht="15.75">
      <c r="B65" s="31" t="s">
        <v>114</v>
      </c>
      <c r="C65" s="103">
        <v>4085976750.1799998</v>
      </c>
      <c r="D65" s="103">
        <v>3919357545.5812511</v>
      </c>
      <c r="E65" s="103">
        <v>5018538778.2699986</v>
      </c>
      <c r="F65" s="103">
        <v>5262350703.539999</v>
      </c>
      <c r="G65" s="106">
        <v>4416771753.6700001</v>
      </c>
      <c r="I65" s="43"/>
    </row>
    <row r="66" spans="1:9" ht="15.75">
      <c r="B66" s="31" t="s">
        <v>115</v>
      </c>
      <c r="C66" s="103">
        <v>10053003694.009998</v>
      </c>
      <c r="D66" s="103">
        <v>11502844480.521242</v>
      </c>
      <c r="E66" s="103">
        <v>12038509187.26001</v>
      </c>
      <c r="F66" s="103">
        <v>12700022158.659996</v>
      </c>
      <c r="G66" s="106">
        <v>10573762900.309999</v>
      </c>
    </row>
    <row r="67" spans="1:9" ht="15.75">
      <c r="B67" s="32" t="s">
        <v>8</v>
      </c>
      <c r="C67" s="102">
        <f t="shared" ref="C67:G67" si="3">C64-C65-C66</f>
        <v>3268287817.1499977</v>
      </c>
      <c r="D67" s="102">
        <f t="shared" si="3"/>
        <v>4184291993.9275055</v>
      </c>
      <c r="E67" s="102">
        <f t="shared" si="3"/>
        <v>4565089090.8999996</v>
      </c>
      <c r="F67" s="102">
        <f t="shared" si="3"/>
        <v>4338456308.6200008</v>
      </c>
      <c r="G67" s="107">
        <f t="shared" si="3"/>
        <v>3575268724.5999947</v>
      </c>
    </row>
    <row r="68" spans="1:9" ht="15.75">
      <c r="B68" s="31" t="s">
        <v>116</v>
      </c>
      <c r="C68" s="103">
        <v>4717768607.7700005</v>
      </c>
      <c r="D68" s="103">
        <v>1683091506.75</v>
      </c>
      <c r="E68" s="103">
        <v>259993041.26999998</v>
      </c>
      <c r="F68" s="103">
        <v>3769101185.6399999</v>
      </c>
      <c r="G68" s="106">
        <v>12795129909.43</v>
      </c>
    </row>
    <row r="69" spans="1:9" ht="15.75">
      <c r="B69" s="31" t="s">
        <v>117</v>
      </c>
      <c r="C69" s="103">
        <v>130802060.67713402</v>
      </c>
      <c r="D69" s="103">
        <v>25649620.870000001</v>
      </c>
      <c r="E69" s="103">
        <v>218892588.44000006</v>
      </c>
      <c r="F69" s="103">
        <v>1075644921.3299999</v>
      </c>
      <c r="G69" s="106">
        <v>649105198.48999977</v>
      </c>
      <c r="H69" s="118"/>
    </row>
    <row r="70" spans="1:9" ht="15.75">
      <c r="B70" s="31" t="s">
        <v>121</v>
      </c>
      <c r="C70" s="103">
        <v>5531624808.4628668</v>
      </c>
      <c r="D70" s="103">
        <v>2560661207.5900002</v>
      </c>
      <c r="E70" s="103">
        <v>1008727094.67</v>
      </c>
      <c r="F70" s="103">
        <v>3661814751.4799995</v>
      </c>
      <c r="G70" s="106">
        <v>13200338936</v>
      </c>
    </row>
    <row r="71" spans="1:9" ht="15.75">
      <c r="B71" s="32" t="s">
        <v>118</v>
      </c>
      <c r="C71" s="102">
        <f t="shared" ref="C71:G71" si="4">C67+C68-C69-C70</f>
        <v>2323629555.7799978</v>
      </c>
      <c r="D71" s="102">
        <f t="shared" si="4"/>
        <v>3281072672.2175055</v>
      </c>
      <c r="E71" s="102">
        <f t="shared" si="4"/>
        <v>3597462449.0599995</v>
      </c>
      <c r="F71" s="102">
        <f t="shared" si="4"/>
        <v>3370097821.4500008</v>
      </c>
      <c r="G71" s="107">
        <f t="shared" si="4"/>
        <v>2520954499.5399952</v>
      </c>
    </row>
    <row r="72" spans="1:9" ht="15.75">
      <c r="B72" s="31" t="s">
        <v>119</v>
      </c>
      <c r="C72" s="103">
        <v>659560050.19000006</v>
      </c>
      <c r="D72" s="103">
        <v>1157834912.323205</v>
      </c>
      <c r="E72" s="103">
        <v>1300251000</v>
      </c>
      <c r="F72" s="103">
        <v>1962957224.6700001</v>
      </c>
      <c r="G72" s="106">
        <v>1869093692.6900001</v>
      </c>
      <c r="H72" s="134"/>
    </row>
    <row r="73" spans="1:9" ht="15.75">
      <c r="B73" s="32" t="s">
        <v>5</v>
      </c>
      <c r="C73" s="102">
        <f>C71-C72</f>
        <v>1664069505.5899978</v>
      </c>
      <c r="D73" s="102">
        <f t="shared" ref="D73:G73" si="5">D71-D72</f>
        <v>2123237759.8943005</v>
      </c>
      <c r="E73" s="102">
        <f t="shared" si="5"/>
        <v>2297211449.0599995</v>
      </c>
      <c r="F73" s="102">
        <f t="shared" si="5"/>
        <v>1407140596.7800007</v>
      </c>
      <c r="G73" s="107">
        <f t="shared" si="5"/>
        <v>651860806.84999514</v>
      </c>
    </row>
    <row r="74" spans="1:9" ht="15.75" thickBot="1">
      <c r="B74" s="41"/>
      <c r="C74" s="42"/>
      <c r="D74" s="42"/>
      <c r="E74" s="42"/>
      <c r="F74" s="42"/>
      <c r="G74" s="21"/>
    </row>
    <row r="77" spans="1:9" ht="15.75" thickBot="1"/>
    <row r="78" spans="1:9" ht="21" thickBot="1">
      <c r="B78" s="110" t="s">
        <v>127</v>
      </c>
      <c r="C78" s="115">
        <f t="shared" ref="C78:G78" si="6">C59</f>
        <v>2016</v>
      </c>
      <c r="D78" s="116">
        <f t="shared" si="6"/>
        <v>2017</v>
      </c>
      <c r="E78" s="116">
        <f t="shared" si="6"/>
        <v>2018</v>
      </c>
      <c r="F78" s="116">
        <f t="shared" si="6"/>
        <v>2019</v>
      </c>
      <c r="G78" s="117">
        <f t="shared" si="6"/>
        <v>2020</v>
      </c>
    </row>
    <row r="79" spans="1:9" ht="15.75">
      <c r="A79" s="33"/>
      <c r="B79" s="31" t="s">
        <v>128</v>
      </c>
      <c r="C79" s="111">
        <v>624239677.62</v>
      </c>
      <c r="D79" s="103">
        <v>672448534.4525001</v>
      </c>
      <c r="E79" s="103">
        <v>544579979.86999989</v>
      </c>
      <c r="F79" s="103">
        <v>499801260</v>
      </c>
      <c r="G79" s="106">
        <v>71592658</v>
      </c>
    </row>
    <row r="80" spans="1:9" ht="16.5" thickBot="1">
      <c r="B80" s="45" t="s">
        <v>129</v>
      </c>
      <c r="C80" s="112">
        <v>367253033.06</v>
      </c>
      <c r="D80" s="113">
        <v>510204030.69000006</v>
      </c>
      <c r="E80" s="113">
        <v>26989121.07</v>
      </c>
      <c r="F80" s="113">
        <v>1330560</v>
      </c>
      <c r="G80" s="114">
        <v>32157915.66</v>
      </c>
    </row>
    <row r="81" spans="2:7" ht="15.75">
      <c r="B81" s="136"/>
      <c r="C81" s="103"/>
      <c r="D81" s="103"/>
      <c r="E81" s="103"/>
      <c r="F81" s="103"/>
      <c r="G81" s="103"/>
    </row>
    <row r="82" spans="2:7" ht="15.75">
      <c r="B82" s="136"/>
      <c r="C82" s="103"/>
      <c r="D82" s="103"/>
      <c r="E82" s="103"/>
      <c r="F82" s="103"/>
      <c r="G82" s="103"/>
    </row>
    <row r="126" spans="11:11">
      <c r="K126" s="89"/>
    </row>
    <row r="156" spans="11:11">
      <c r="K156" s="89"/>
    </row>
    <row r="172" spans="11:11">
      <c r="K172" s="89"/>
    </row>
  </sheetData>
  <dataConsolidate/>
  <mergeCells count="5">
    <mergeCell ref="B58:G58"/>
    <mergeCell ref="B57:G57"/>
    <mergeCell ref="B7:G7"/>
    <mergeCell ref="B6:G6"/>
    <mergeCell ref="B3:G3"/>
  </mergeCells>
  <hyperlinks>
    <hyperlink ref="A1" location="CONTENIDO!A5" display="1.1 ESTADOS FINANCIEROS" xr:uid="{00000000-0004-0000-0000-000000000000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K98"/>
  <sheetViews>
    <sheetView zoomScale="70" zoomScaleNormal="70" workbookViewId="0"/>
  </sheetViews>
  <sheetFormatPr baseColWidth="10" defaultRowHeight="15"/>
  <cols>
    <col min="1" max="1" width="78.28515625" style="2" bestFit="1" customWidth="1"/>
    <col min="2" max="2" width="73.5703125" style="2" bestFit="1" customWidth="1"/>
    <col min="3" max="3" width="23.140625" style="2" bestFit="1" customWidth="1"/>
    <col min="4" max="4" width="24.42578125" style="2" customWidth="1"/>
    <col min="5" max="5" width="23.140625" style="2" bestFit="1" customWidth="1"/>
    <col min="6" max="6" width="23.7109375" style="2" customWidth="1"/>
    <col min="7" max="7" width="24" style="2" customWidth="1"/>
    <col min="8" max="8" width="24.28515625" style="2" customWidth="1"/>
    <col min="9" max="9" width="19.85546875" style="2" customWidth="1"/>
    <col min="10" max="10" width="18.42578125" style="2" customWidth="1"/>
    <col min="11" max="11" width="17.5703125" style="2" customWidth="1"/>
    <col min="12" max="12" width="18.7109375" style="2" customWidth="1"/>
    <col min="13" max="16384" width="11.42578125" style="2"/>
  </cols>
  <sheetData>
    <row r="1" spans="1:8" ht="27" thickBot="1">
      <c r="A1" s="137" t="s">
        <v>191</v>
      </c>
      <c r="B1" s="4"/>
    </row>
    <row r="10" spans="1:8" ht="26.25">
      <c r="B10" s="119" t="s">
        <v>166</v>
      </c>
      <c r="C10" s="120"/>
    </row>
    <row r="14" spans="1:8" ht="18.75">
      <c r="B14" s="75" t="s">
        <v>167</v>
      </c>
      <c r="C14" s="58">
        <f>'Inductores de Rentabilidad'!C$12</f>
        <v>2016</v>
      </c>
      <c r="D14" s="58">
        <f>'Inductores de Rentabilidad'!D$12</f>
        <v>2017</v>
      </c>
      <c r="E14" s="58">
        <f>'Inductores de Rentabilidad'!E$12</f>
        <v>2018</v>
      </c>
      <c r="F14" s="58">
        <f>'Inductores de Rentabilidad'!F$12</f>
        <v>2019</v>
      </c>
      <c r="G14" s="58">
        <f>'Inductores de Rentabilidad'!G$12</f>
        <v>2020</v>
      </c>
      <c r="H14" s="24"/>
    </row>
    <row r="15" spans="1:8" ht="18.75">
      <c r="B15" s="27" t="s">
        <v>130</v>
      </c>
      <c r="C15" s="26">
        <f>+'Estados Financieros'!C73</f>
        <v>1664069505.5899978</v>
      </c>
      <c r="D15" s="26">
        <f>+'Estados Financieros'!D73</f>
        <v>2123237759.8943005</v>
      </c>
      <c r="E15" s="26">
        <f>+'Estados Financieros'!E73</f>
        <v>2297211449.0599995</v>
      </c>
      <c r="F15" s="26">
        <f>+'Estados Financieros'!F73</f>
        <v>1407140596.7800007</v>
      </c>
      <c r="G15" s="26">
        <f>+'Estados Financieros'!G73</f>
        <v>651860806.84999514</v>
      </c>
      <c r="H15" s="24"/>
    </row>
    <row r="16" spans="1:8" ht="18.75">
      <c r="B16" s="27" t="s">
        <v>124</v>
      </c>
      <c r="C16" s="26">
        <f>+'Estados Financieros'!C72</f>
        <v>659560050.19000006</v>
      </c>
      <c r="D16" s="26">
        <f>+'Estados Financieros'!D72</f>
        <v>1157834912.323205</v>
      </c>
      <c r="E16" s="26">
        <f>+'Estados Financieros'!E72</f>
        <v>1300251000</v>
      </c>
      <c r="F16" s="26">
        <f>+'Estados Financieros'!F72</f>
        <v>1962957224.6700001</v>
      </c>
      <c r="G16" s="26">
        <f>+'Estados Financieros'!G72</f>
        <v>1869093692.6900001</v>
      </c>
      <c r="H16" s="24"/>
    </row>
    <row r="17" spans="2:8" ht="18.75">
      <c r="B17" s="27" t="s">
        <v>125</v>
      </c>
      <c r="C17" s="26">
        <f>+'Estados Financieros'!C70</f>
        <v>5531624808.4628668</v>
      </c>
      <c r="D17" s="26">
        <f>+'Estados Financieros'!D70</f>
        <v>2560661207.5900002</v>
      </c>
      <c r="E17" s="26">
        <f>+'Estados Financieros'!E70</f>
        <v>1008727094.67</v>
      </c>
      <c r="F17" s="26">
        <f>+'Estados Financieros'!F70</f>
        <v>3661814751.4799995</v>
      </c>
      <c r="G17" s="26">
        <f>+'Estados Financieros'!G70</f>
        <v>13200338936</v>
      </c>
      <c r="H17" s="24"/>
    </row>
    <row r="18" spans="2:8" ht="18.75">
      <c r="B18" s="59" t="s">
        <v>126</v>
      </c>
      <c r="C18" s="28">
        <f>+C15+C17+C16</f>
        <v>7855254364.2428646</v>
      </c>
      <c r="D18" s="28">
        <f t="shared" ref="D18:G18" si="0">+D15+D17+D16</f>
        <v>5841733879.8075056</v>
      </c>
      <c r="E18" s="28">
        <f t="shared" si="0"/>
        <v>4606189543.7299995</v>
      </c>
      <c r="F18" s="28">
        <f t="shared" si="0"/>
        <v>7031912572.9300003</v>
      </c>
      <c r="G18" s="28">
        <f t="shared" si="0"/>
        <v>15721293435.539995</v>
      </c>
      <c r="H18" s="24"/>
    </row>
    <row r="19" spans="2:8" ht="18.75">
      <c r="B19" s="27" t="s">
        <v>128</v>
      </c>
      <c r="C19" s="26">
        <f>+'Estados Financieros'!C79</f>
        <v>624239677.62</v>
      </c>
      <c r="D19" s="26">
        <f>+'Estados Financieros'!D79</f>
        <v>672448534.4525001</v>
      </c>
      <c r="E19" s="26">
        <f>+'Estados Financieros'!E79</f>
        <v>544579979.86999989</v>
      </c>
      <c r="F19" s="26">
        <f>+'Estados Financieros'!F79</f>
        <v>499801260</v>
      </c>
      <c r="G19" s="26">
        <f>+'Estados Financieros'!G79</f>
        <v>71592658</v>
      </c>
      <c r="H19" s="24"/>
    </row>
    <row r="20" spans="2:8" ht="18.75">
      <c r="B20" s="27" t="s">
        <v>129</v>
      </c>
      <c r="C20" s="26">
        <f>+'Estados Financieros'!C80</f>
        <v>367253033.06</v>
      </c>
      <c r="D20" s="26">
        <f>+'Estados Financieros'!D80</f>
        <v>510204030.69000006</v>
      </c>
      <c r="E20" s="26">
        <f>+'Estados Financieros'!E80</f>
        <v>26989121.07</v>
      </c>
      <c r="F20" s="26">
        <f>+'Estados Financieros'!F80</f>
        <v>1330560</v>
      </c>
      <c r="G20" s="26">
        <f>+'Estados Financieros'!G80</f>
        <v>32157915.66</v>
      </c>
      <c r="H20" s="60" t="s">
        <v>2</v>
      </c>
    </row>
    <row r="21" spans="2:8" ht="18.75">
      <c r="B21" s="59" t="s">
        <v>167</v>
      </c>
      <c r="C21" s="28">
        <f>+C18+C19+C20</f>
        <v>8846747074.9228649</v>
      </c>
      <c r="D21" s="28">
        <f t="shared" ref="D21:G21" si="1">+D18+D19+D20</f>
        <v>7024386444.9500065</v>
      </c>
      <c r="E21" s="28">
        <f t="shared" si="1"/>
        <v>5177758644.6699991</v>
      </c>
      <c r="F21" s="28">
        <f t="shared" si="1"/>
        <v>7533044392.9300003</v>
      </c>
      <c r="G21" s="28">
        <f t="shared" si="1"/>
        <v>15825044009.199995</v>
      </c>
      <c r="H21" s="86">
        <f>AVERAGE(C21:G21)</f>
        <v>8881396113.3345737</v>
      </c>
    </row>
    <row r="22" spans="2:8" ht="18.75">
      <c r="B22" s="61"/>
      <c r="C22" s="24"/>
      <c r="D22" s="24"/>
      <c r="E22" s="24"/>
      <c r="F22" s="24"/>
      <c r="G22" s="24"/>
      <c r="H22" s="24"/>
    </row>
    <row r="23" spans="2:8" ht="18.75">
      <c r="B23" s="61"/>
      <c r="C23" s="24"/>
      <c r="D23" s="24"/>
      <c r="E23" s="24"/>
      <c r="F23" s="24"/>
      <c r="G23" s="24"/>
      <c r="H23" s="24"/>
    </row>
    <row r="24" spans="2:8" ht="18.75">
      <c r="B24" s="75" t="s">
        <v>168</v>
      </c>
      <c r="C24" s="58">
        <f>'Inductores de Rentabilidad'!C$12</f>
        <v>2016</v>
      </c>
      <c r="D24" s="58">
        <f>'Inductores de Rentabilidad'!D$12</f>
        <v>2017</v>
      </c>
      <c r="E24" s="58">
        <f>'Inductores de Rentabilidad'!E$12</f>
        <v>2018</v>
      </c>
      <c r="F24" s="58">
        <f>'Inductores de Rentabilidad'!F$12</f>
        <v>2019</v>
      </c>
      <c r="G24" s="58">
        <f>'Inductores de Rentabilidad'!G$12</f>
        <v>2020</v>
      </c>
      <c r="H24" s="24"/>
    </row>
    <row r="25" spans="2:8" ht="18.75">
      <c r="B25" s="27" t="s">
        <v>0</v>
      </c>
      <c r="C25" s="26">
        <f>+'Estados Financieros'!C67</f>
        <v>3268287817.1499977</v>
      </c>
      <c r="D25" s="26">
        <f>+'Estados Financieros'!D67</f>
        <v>4184291993.9275055</v>
      </c>
      <c r="E25" s="26">
        <f>+'Estados Financieros'!E67</f>
        <v>4565089090.8999996</v>
      </c>
      <c r="F25" s="26">
        <f>+'Estados Financieros'!F67</f>
        <v>4338456308.6200008</v>
      </c>
      <c r="G25" s="26">
        <f>+'Estados Financieros'!G67</f>
        <v>3575268724.5999947</v>
      </c>
      <c r="H25" s="24"/>
    </row>
    <row r="26" spans="2:8" ht="18.75">
      <c r="B26" s="27" t="s">
        <v>128</v>
      </c>
      <c r="C26" s="26">
        <f>+'Estados Financieros'!C79</f>
        <v>624239677.62</v>
      </c>
      <c r="D26" s="26">
        <f>+'Estados Financieros'!D79</f>
        <v>672448534.4525001</v>
      </c>
      <c r="E26" s="26">
        <f>+'Estados Financieros'!E79</f>
        <v>544579979.86999989</v>
      </c>
      <c r="F26" s="26">
        <f>+'Estados Financieros'!F79</f>
        <v>499801260</v>
      </c>
      <c r="G26" s="26">
        <f>+'Estados Financieros'!G79</f>
        <v>71592658</v>
      </c>
      <c r="H26" s="24"/>
    </row>
    <row r="27" spans="2:8" ht="18.75">
      <c r="B27" s="27" t="s">
        <v>129</v>
      </c>
      <c r="C27" s="26">
        <f>+'Estados Financieros'!C80</f>
        <v>367253033.06</v>
      </c>
      <c r="D27" s="26">
        <f>+'Estados Financieros'!D80</f>
        <v>510204030.69000006</v>
      </c>
      <c r="E27" s="26">
        <f>+'Estados Financieros'!E80</f>
        <v>26989121.07</v>
      </c>
      <c r="F27" s="26">
        <f>+'Estados Financieros'!F80</f>
        <v>1330560</v>
      </c>
      <c r="G27" s="26">
        <f>+'Estados Financieros'!G80</f>
        <v>32157915.66</v>
      </c>
      <c r="H27" s="60" t="s">
        <v>2</v>
      </c>
    </row>
    <row r="28" spans="2:8" ht="18.75">
      <c r="B28" s="59" t="s">
        <v>168</v>
      </c>
      <c r="C28" s="28">
        <f>+C25+C26+C27</f>
        <v>4259780527.8299975</v>
      </c>
      <c r="D28" s="28">
        <f t="shared" ref="D28:G28" si="2">+D25+D26+D27</f>
        <v>5366944559.0700054</v>
      </c>
      <c r="E28" s="28">
        <f t="shared" si="2"/>
        <v>5136658191.8399992</v>
      </c>
      <c r="F28" s="28">
        <f t="shared" si="2"/>
        <v>4839588128.6200008</v>
      </c>
      <c r="G28" s="28">
        <f t="shared" si="2"/>
        <v>3679019298.2599945</v>
      </c>
      <c r="H28" s="86">
        <f>AVERAGE(C28:G28)</f>
        <v>4656398141.1239986</v>
      </c>
    </row>
    <row r="29" spans="2:8" ht="18.75">
      <c r="B29" s="61"/>
      <c r="C29" s="24"/>
      <c r="D29" s="24"/>
      <c r="E29" s="24"/>
      <c r="F29" s="24"/>
      <c r="G29" s="24"/>
      <c r="H29" s="24"/>
    </row>
    <row r="30" spans="2:8" ht="18.75">
      <c r="B30" s="61"/>
      <c r="C30" s="24"/>
      <c r="D30" s="24"/>
      <c r="E30" s="24"/>
      <c r="F30" s="24"/>
      <c r="G30" s="24"/>
      <c r="H30" s="24"/>
    </row>
    <row r="31" spans="2:8" ht="18.75">
      <c r="B31" s="74"/>
      <c r="C31" s="73"/>
      <c r="D31" s="73"/>
      <c r="E31" s="73"/>
      <c r="F31" s="73"/>
      <c r="G31" s="73"/>
      <c r="H31" s="73"/>
    </row>
    <row r="32" spans="2:8" ht="18.75">
      <c r="B32" s="24"/>
      <c r="C32" s="24"/>
      <c r="D32" s="24"/>
      <c r="E32" s="24"/>
      <c r="F32" s="24"/>
      <c r="G32" s="24"/>
      <c r="H32" s="24"/>
    </row>
    <row r="33" spans="2:11" ht="18.75">
      <c r="B33" s="24"/>
      <c r="C33" s="58">
        <f>C14</f>
        <v>2016</v>
      </c>
      <c r="D33" s="58">
        <f>D14</f>
        <v>2017</v>
      </c>
      <c r="E33" s="58">
        <f>E14</f>
        <v>2018</v>
      </c>
      <c r="F33" s="58">
        <f>F14</f>
        <v>2019</v>
      </c>
      <c r="G33" s="58">
        <f>G14</f>
        <v>2020</v>
      </c>
      <c r="H33" s="24"/>
    </row>
    <row r="34" spans="2:11" ht="18.75">
      <c r="B34" s="62" t="s">
        <v>17</v>
      </c>
      <c r="C34" s="26">
        <f>+'Estados Financieros'!C61</f>
        <v>23022505394.929996</v>
      </c>
      <c r="D34" s="26">
        <f>+'Estados Financieros'!D61</f>
        <v>26779815999</v>
      </c>
      <c r="E34" s="26">
        <f>+'Estados Financieros'!E61</f>
        <v>32806589929.220009</v>
      </c>
      <c r="F34" s="26">
        <f>+'Estados Financieros'!F61</f>
        <v>48267951070.199997</v>
      </c>
      <c r="G34" s="26">
        <f>+'Estados Financieros'!G61</f>
        <v>51117452420.909996</v>
      </c>
      <c r="H34" s="24"/>
    </row>
    <row r="35" spans="2:11" ht="18.75">
      <c r="B35" s="62" t="s">
        <v>1</v>
      </c>
      <c r="C35" s="26">
        <f>+C28</f>
        <v>4259780527.8299975</v>
      </c>
      <c r="D35" s="26">
        <f t="shared" ref="D35:G35" si="3">+D28</f>
        <v>5366944559.0700054</v>
      </c>
      <c r="E35" s="26">
        <f t="shared" si="3"/>
        <v>5136658191.8399992</v>
      </c>
      <c r="F35" s="26">
        <f t="shared" si="3"/>
        <v>4839588128.6200008</v>
      </c>
      <c r="G35" s="26">
        <f t="shared" si="3"/>
        <v>3679019298.2599945</v>
      </c>
      <c r="H35" s="60" t="s">
        <v>2</v>
      </c>
    </row>
    <row r="36" spans="2:11" ht="18.75">
      <c r="B36" s="59" t="s">
        <v>179</v>
      </c>
      <c r="C36" s="54">
        <f>+C35/C34</f>
        <v>0.18502680115640602</v>
      </c>
      <c r="D36" s="54">
        <f t="shared" ref="D36:G36" si="4">+D35/D34</f>
        <v>0.20041006104263059</v>
      </c>
      <c r="E36" s="54">
        <f t="shared" si="4"/>
        <v>0.15657397501301731</v>
      </c>
      <c r="F36" s="54">
        <f t="shared" si="4"/>
        <v>0.10026504173714346</v>
      </c>
      <c r="G36" s="54">
        <f t="shared" si="4"/>
        <v>7.1971882870185105E-2</v>
      </c>
      <c r="H36" s="87">
        <f>AVERAGE(C36:G36)</f>
        <v>0.14284955236387648</v>
      </c>
      <c r="I36" s="88">
        <f>100%-H36</f>
        <v>0.85715044763612358</v>
      </c>
      <c r="J36" s="89" t="s">
        <v>143</v>
      </c>
      <c r="K36" s="89"/>
    </row>
    <row r="37" spans="2:11" ht="18.75">
      <c r="H37" s="60" t="s">
        <v>2</v>
      </c>
    </row>
    <row r="38" spans="2:11" ht="18.75">
      <c r="B38" s="126" t="s">
        <v>180</v>
      </c>
      <c r="C38" s="54">
        <f>+C21/C34</f>
        <v>0.38426517545180339</v>
      </c>
      <c r="D38" s="54">
        <f t="shared" ref="D38:G38" si="5">+D21/D34</f>
        <v>0.26230152011545965</v>
      </c>
      <c r="E38" s="54">
        <f t="shared" si="5"/>
        <v>0.15782678589396149</v>
      </c>
      <c r="F38" s="54">
        <f t="shared" si="5"/>
        <v>0.15606720869452451</v>
      </c>
      <c r="G38" s="54">
        <f t="shared" si="5"/>
        <v>0.30958201670329399</v>
      </c>
      <c r="H38" s="87">
        <f>AVERAGE(C38:G38)</f>
        <v>0.25400854137180862</v>
      </c>
      <c r="I38" s="2">
        <f>+G38/F38-1</f>
        <v>0.98364550306816256</v>
      </c>
    </row>
    <row r="39" spans="2:11" ht="26.25">
      <c r="B39" s="4" t="s">
        <v>23</v>
      </c>
    </row>
    <row r="45" spans="2:11" ht="26.25">
      <c r="B45" s="119" t="s">
        <v>171</v>
      </c>
    </row>
    <row r="49" spans="2:9" ht="18.75">
      <c r="B49" s="24"/>
      <c r="C49" s="59">
        <f>C33</f>
        <v>2016</v>
      </c>
      <c r="D49" s="59">
        <f>D33</f>
        <v>2017</v>
      </c>
      <c r="E49" s="59">
        <f>E33</f>
        <v>2018</v>
      </c>
      <c r="F49" s="59">
        <f>F33</f>
        <v>2019</v>
      </c>
      <c r="G49" s="59">
        <f>G33</f>
        <v>2020</v>
      </c>
      <c r="H49" s="24"/>
    </row>
    <row r="50" spans="2:9" ht="18.75">
      <c r="B50" s="62" t="s">
        <v>18</v>
      </c>
      <c r="C50" s="26">
        <f>+'Estados Financieros'!C14</f>
        <v>11385509735.380001</v>
      </c>
      <c r="D50" s="26">
        <f>+'Estados Financieros'!D14</f>
        <v>10694903131.379997</v>
      </c>
      <c r="E50" s="26">
        <f>+'Estados Financieros'!E14</f>
        <v>20055814840.639999</v>
      </c>
      <c r="F50" s="26">
        <f>+'Estados Financieros'!F14</f>
        <v>25868895297.710007</v>
      </c>
      <c r="G50" s="26">
        <f>+'Estados Financieros'!G14</f>
        <v>22731466212.569992</v>
      </c>
      <c r="H50" s="24" t="s">
        <v>476</v>
      </c>
    </row>
    <row r="51" spans="2:9" ht="18.75">
      <c r="B51" s="62" t="s">
        <v>19</v>
      </c>
      <c r="C51" s="26">
        <f>+'Estados Financieros'!C15</f>
        <v>2473248785.8400002</v>
      </c>
      <c r="D51" s="26">
        <f>+'Estados Financieros'!D15</f>
        <v>2535358837.8000007</v>
      </c>
      <c r="E51" s="26">
        <f>+'Estados Financieros'!E15</f>
        <v>2815452942.3699999</v>
      </c>
      <c r="F51" s="26">
        <f>+'Estados Financieros'!F15</f>
        <v>8577058239.7800007</v>
      </c>
      <c r="G51" s="26">
        <f>+'Estados Financieros'!G15</f>
        <v>21630543917.52</v>
      </c>
      <c r="H51" s="24" t="s">
        <v>477</v>
      </c>
    </row>
    <row r="52" spans="2:9" ht="18.75">
      <c r="B52" s="62" t="s">
        <v>20</v>
      </c>
      <c r="C52" s="63">
        <f>+'Estados Financieros'!C31</f>
        <v>4434916898</v>
      </c>
      <c r="D52" s="63">
        <f>+'Estados Financieros'!D31</f>
        <v>4724854964.2700005</v>
      </c>
      <c r="E52" s="63">
        <f>+'Estados Financieros'!E31</f>
        <v>12411325133.240004</v>
      </c>
      <c r="F52" s="63">
        <f>+'Estados Financieros'!F31</f>
        <v>31859233808.339993</v>
      </c>
      <c r="G52" s="63">
        <f>+'Estados Financieros'!G31</f>
        <v>57190679522.930008</v>
      </c>
      <c r="H52" s="64" t="s">
        <v>2</v>
      </c>
      <c r="I52" s="2" t="s">
        <v>478</v>
      </c>
    </row>
    <row r="53" spans="2:9" ht="18.75">
      <c r="B53" s="65" t="s">
        <v>21</v>
      </c>
      <c r="C53" s="66">
        <f>+C50+C51-C52</f>
        <v>9423841623.2200012</v>
      </c>
      <c r="D53" s="66">
        <f t="shared" ref="D53:G53" si="6">+D50+D51-D52</f>
        <v>8505407004.9099979</v>
      </c>
      <c r="E53" s="66">
        <f t="shared" si="6"/>
        <v>10459942649.769995</v>
      </c>
      <c r="F53" s="66">
        <f t="shared" si="6"/>
        <v>2586719729.150013</v>
      </c>
      <c r="G53" s="66">
        <f t="shared" si="6"/>
        <v>-12828669392.840012</v>
      </c>
      <c r="H53" s="66">
        <f>AVERAGE(C53:G53)</f>
        <v>3629448322.8419991</v>
      </c>
    </row>
    <row r="54" spans="2:9" ht="18.75">
      <c r="B54" s="24"/>
      <c r="C54" s="24"/>
      <c r="D54" s="24"/>
      <c r="E54" s="24"/>
      <c r="F54" s="24"/>
      <c r="G54" s="24"/>
      <c r="H54" s="24"/>
    </row>
    <row r="55" spans="2:9" ht="18.75">
      <c r="B55" s="63" t="s">
        <v>139</v>
      </c>
      <c r="C55" s="63">
        <f>+C52*-1</f>
        <v>-4434916898</v>
      </c>
      <c r="D55" s="63">
        <f t="shared" ref="D55:G55" si="7">+D52*-1</f>
        <v>-4724854964.2700005</v>
      </c>
      <c r="E55" s="63">
        <f t="shared" si="7"/>
        <v>-12411325133.240004</v>
      </c>
      <c r="F55" s="63">
        <f t="shared" si="7"/>
        <v>-31859233808.339993</v>
      </c>
      <c r="G55" s="63">
        <f t="shared" si="7"/>
        <v>-57190679522.930008</v>
      </c>
      <c r="H55" s="24" t="s">
        <v>144</v>
      </c>
    </row>
    <row r="56" spans="2:9" ht="18.75">
      <c r="B56" s="24"/>
      <c r="C56" s="24"/>
      <c r="D56" s="24"/>
      <c r="E56" s="24"/>
      <c r="F56" s="24"/>
      <c r="G56" s="24"/>
      <c r="H56" s="24"/>
    </row>
    <row r="57" spans="2:9" ht="18.75">
      <c r="B57" s="24"/>
      <c r="C57" s="24"/>
      <c r="D57" s="24"/>
      <c r="E57" s="24"/>
      <c r="F57" s="24"/>
      <c r="G57" s="24"/>
      <c r="H57" s="24"/>
    </row>
    <row r="58" spans="2:9" ht="26.25">
      <c r="B58" s="119" t="s">
        <v>170</v>
      </c>
      <c r="C58" s="121"/>
      <c r="D58" s="24"/>
      <c r="E58" s="24"/>
      <c r="F58" s="24"/>
      <c r="G58" s="24"/>
      <c r="H58" s="24"/>
    </row>
    <row r="59" spans="2:9" ht="26.25">
      <c r="B59" s="119" t="s">
        <v>169</v>
      </c>
      <c r="C59" s="121"/>
      <c r="D59" s="121"/>
      <c r="E59" s="24"/>
      <c r="F59" s="24"/>
      <c r="G59" s="24"/>
      <c r="H59" s="24"/>
    </row>
    <row r="60" spans="2:9" ht="18.75">
      <c r="B60" s="24"/>
      <c r="C60" s="24"/>
      <c r="D60" s="24"/>
      <c r="E60" s="24"/>
      <c r="F60" s="24"/>
      <c r="G60" s="24"/>
      <c r="H60" s="24"/>
    </row>
    <row r="61" spans="2:9" ht="18.75">
      <c r="B61" s="24"/>
      <c r="C61" s="24"/>
      <c r="D61" s="24"/>
      <c r="E61" s="24"/>
      <c r="F61" s="24"/>
      <c r="G61" s="24"/>
      <c r="H61" s="24"/>
    </row>
    <row r="62" spans="2:9" ht="18.75">
      <c r="B62" s="24"/>
      <c r="C62" s="24"/>
      <c r="D62" s="24"/>
      <c r="E62" s="24"/>
      <c r="F62" s="24"/>
      <c r="G62" s="24"/>
      <c r="H62" s="24"/>
    </row>
    <row r="63" spans="2:9" ht="18.75">
      <c r="B63" s="24"/>
      <c r="C63" s="59">
        <f t="shared" ref="C63:G63" si="8">C49</f>
        <v>2016</v>
      </c>
      <c r="D63" s="59">
        <f t="shared" si="8"/>
        <v>2017</v>
      </c>
      <c r="E63" s="59">
        <f t="shared" si="8"/>
        <v>2018</v>
      </c>
      <c r="F63" s="59">
        <f t="shared" si="8"/>
        <v>2019</v>
      </c>
      <c r="G63" s="59">
        <f t="shared" si="8"/>
        <v>2020</v>
      </c>
      <c r="H63" s="24"/>
    </row>
    <row r="64" spans="2:9" ht="18.75">
      <c r="B64" s="62" t="s">
        <v>17</v>
      </c>
      <c r="C64" s="26">
        <f>+C34</f>
        <v>23022505394.929996</v>
      </c>
      <c r="D64" s="26">
        <f>+D34</f>
        <v>26779815999</v>
      </c>
      <c r="E64" s="26">
        <f>+E34</f>
        <v>32806589929.220009</v>
      </c>
      <c r="F64" s="26">
        <f>+F34</f>
        <v>48267951070.199997</v>
      </c>
      <c r="G64" s="26">
        <f>+G34</f>
        <v>51117452420.909996</v>
      </c>
      <c r="H64" s="24"/>
    </row>
    <row r="65" spans="2:11" ht="18.75">
      <c r="B65" s="62" t="s">
        <v>21</v>
      </c>
      <c r="C65" s="67">
        <f>+C53</f>
        <v>9423841623.2200012</v>
      </c>
      <c r="D65" s="67">
        <f t="shared" ref="D65:G65" si="9">+D53</f>
        <v>8505407004.9099979</v>
      </c>
      <c r="E65" s="67">
        <f t="shared" si="9"/>
        <v>10459942649.769995</v>
      </c>
      <c r="F65" s="67">
        <f t="shared" si="9"/>
        <v>2586719729.150013</v>
      </c>
      <c r="G65" s="67">
        <f t="shared" si="9"/>
        <v>-12828669392.840012</v>
      </c>
      <c r="H65" s="64" t="s">
        <v>2</v>
      </c>
    </row>
    <row r="66" spans="2:11" ht="18.75">
      <c r="B66" s="62" t="s">
        <v>69</v>
      </c>
      <c r="C66" s="68">
        <f>+C65/C64</f>
        <v>0.40933171527436429</v>
      </c>
      <c r="D66" s="68">
        <f t="shared" ref="D66:G66" si="10">+D65/D64</f>
        <v>0.31760513235892296</v>
      </c>
      <c r="E66" s="68">
        <f t="shared" si="10"/>
        <v>0.31883663228446629</v>
      </c>
      <c r="F66" s="68">
        <f t="shared" si="10"/>
        <v>5.3590833499187411E-2</v>
      </c>
      <c r="G66" s="68">
        <f t="shared" si="10"/>
        <v>-0.25096456856273891</v>
      </c>
      <c r="H66" s="68">
        <f>AVERAGE(C66:G66)</f>
        <v>0.16967994897084043</v>
      </c>
      <c r="I66" s="89" t="s">
        <v>145</v>
      </c>
      <c r="J66" s="89"/>
      <c r="K66" s="89"/>
    </row>
    <row r="67" spans="2:11" ht="18.75">
      <c r="B67" s="65" t="s">
        <v>70</v>
      </c>
      <c r="C67" s="69">
        <f>+C66</f>
        <v>0.40933171527436429</v>
      </c>
      <c r="D67" s="69">
        <f t="shared" ref="D67:G67" si="11">+D66</f>
        <v>0.31760513235892296</v>
      </c>
      <c r="E67" s="69">
        <f t="shared" si="11"/>
        <v>0.31883663228446629</v>
      </c>
      <c r="F67" s="69">
        <f t="shared" si="11"/>
        <v>5.3590833499187411E-2</v>
      </c>
      <c r="G67" s="69">
        <f t="shared" si="11"/>
        <v>-0.25096456856273891</v>
      </c>
      <c r="H67" s="87">
        <f>AVERAGE(C67:G67)</f>
        <v>0.16967994897084043</v>
      </c>
    </row>
    <row r="71" spans="2:11" ht="26.25">
      <c r="B71" s="4"/>
    </row>
    <row r="76" spans="2:11" ht="26.25">
      <c r="B76" s="119" t="s">
        <v>173</v>
      </c>
    </row>
    <row r="77" spans="2:11" ht="26.25">
      <c r="B77" s="119" t="s">
        <v>172</v>
      </c>
      <c r="C77" s="120"/>
      <c r="D77" s="120"/>
    </row>
    <row r="79" spans="2:11" ht="18.75">
      <c r="B79" s="24"/>
      <c r="C79" s="59">
        <f>C63</f>
        <v>2016</v>
      </c>
      <c r="D79" s="59">
        <f>D63</f>
        <v>2017</v>
      </c>
      <c r="E79" s="59">
        <f>E63</f>
        <v>2018</v>
      </c>
      <c r="F79" s="59">
        <f>F63</f>
        <v>2019</v>
      </c>
      <c r="G79" s="59">
        <f>G63</f>
        <v>2020</v>
      </c>
      <c r="H79" s="24"/>
    </row>
    <row r="80" spans="2:11" ht="18.75">
      <c r="B80" s="62" t="s">
        <v>17</v>
      </c>
      <c r="C80" s="26">
        <f>+C64</f>
        <v>23022505394.929996</v>
      </c>
      <c r="D80" s="26">
        <f>+D64</f>
        <v>26779815999</v>
      </c>
      <c r="E80" s="26">
        <f>+E64</f>
        <v>32806589929.220009</v>
      </c>
      <c r="F80" s="26">
        <f>+F64</f>
        <v>48267951070.199997</v>
      </c>
      <c r="G80" s="26">
        <f>+G64</f>
        <v>51117452420.909996</v>
      </c>
      <c r="H80" s="24" t="s">
        <v>479</v>
      </c>
    </row>
    <row r="81" spans="2:11" ht="18.75">
      <c r="B81" s="62" t="s">
        <v>24</v>
      </c>
      <c r="C81" s="67">
        <f>+'Estados Financieros'!C22</f>
        <v>8863280753.7800007</v>
      </c>
      <c r="D81" s="67">
        <f>+'Estados Financieros'!D22</f>
        <v>8259711192.4274998</v>
      </c>
      <c r="E81" s="67">
        <f>+'Estados Financieros'!E22</f>
        <v>7857112029.8400002</v>
      </c>
      <c r="F81" s="67">
        <f>+'Estados Financieros'!F22</f>
        <v>7949091527.6599998</v>
      </c>
      <c r="G81" s="67">
        <f>+'Estados Financieros'!G22</f>
        <v>7813014062.4299994</v>
      </c>
      <c r="H81" s="64" t="s">
        <v>2</v>
      </c>
    </row>
    <row r="82" spans="2:11" ht="18.75">
      <c r="B82" s="65" t="s">
        <v>25</v>
      </c>
      <c r="C82" s="70">
        <f>+C80/C81</f>
        <v>2.5975150775982572</v>
      </c>
      <c r="D82" s="70">
        <f t="shared" ref="D82:G82" si="12">+D80/D81</f>
        <v>3.2422218374356389</v>
      </c>
      <c r="E82" s="70">
        <f t="shared" si="12"/>
        <v>4.1754005548891318</v>
      </c>
      <c r="F82" s="70">
        <f t="shared" si="12"/>
        <v>6.0721342687079103</v>
      </c>
      <c r="G82" s="70">
        <f t="shared" si="12"/>
        <v>6.5426034066309455</v>
      </c>
      <c r="H82" s="68">
        <f>AVERAGE(C82:G82)</f>
        <v>4.5259750290523773</v>
      </c>
      <c r="I82" s="89" t="s">
        <v>146</v>
      </c>
      <c r="J82" s="89" t="s">
        <v>147</v>
      </c>
      <c r="K82" s="89"/>
    </row>
    <row r="87" spans="2:11" ht="26.25">
      <c r="B87" s="119" t="s">
        <v>176</v>
      </c>
      <c r="C87" s="120"/>
      <c r="D87" s="120"/>
      <c r="E87" s="120"/>
    </row>
    <row r="88" spans="2:11" ht="26.25">
      <c r="B88" s="119" t="s">
        <v>174</v>
      </c>
      <c r="C88" s="120"/>
      <c r="D88" s="120"/>
      <c r="E88" s="120"/>
    </row>
    <row r="89" spans="2:11" ht="26.25">
      <c r="B89" s="119" t="s">
        <v>175</v>
      </c>
      <c r="C89" s="120"/>
      <c r="D89" s="120"/>
      <c r="E89" s="120"/>
    </row>
    <row r="95" spans="2:11" ht="18.75">
      <c r="B95" s="24"/>
      <c r="C95" s="25">
        <f>C79</f>
        <v>2016</v>
      </c>
      <c r="D95" s="25">
        <f>D79</f>
        <v>2017</v>
      </c>
      <c r="E95" s="25">
        <f>E79</f>
        <v>2018</v>
      </c>
      <c r="F95" s="25">
        <f>F79</f>
        <v>2019</v>
      </c>
      <c r="G95" s="25">
        <f>G79</f>
        <v>2020</v>
      </c>
      <c r="H95" s="24"/>
    </row>
    <row r="96" spans="2:11" ht="18.75">
      <c r="B96" s="62" t="s">
        <v>16</v>
      </c>
      <c r="C96" s="54">
        <f>+C36</f>
        <v>0.18502680115640602</v>
      </c>
      <c r="D96" s="54">
        <f>+D36</f>
        <v>0.20041006104263059</v>
      </c>
      <c r="E96" s="54">
        <f>+E36</f>
        <v>0.15657397501301731</v>
      </c>
      <c r="F96" s="54">
        <f>+F36</f>
        <v>0.10026504173714346</v>
      </c>
      <c r="G96" s="54">
        <f>+G36</f>
        <v>7.1971882870185105E-2</v>
      </c>
      <c r="H96" s="24"/>
    </row>
    <row r="97" spans="2:9" ht="18.75">
      <c r="B97" s="62" t="s">
        <v>22</v>
      </c>
      <c r="C97" s="54">
        <f>+C66</f>
        <v>0.40933171527436429</v>
      </c>
      <c r="D97" s="54">
        <f>+D66</f>
        <v>0.31760513235892296</v>
      </c>
      <c r="E97" s="54">
        <f>+E66</f>
        <v>0.31883663228446629</v>
      </c>
      <c r="F97" s="54">
        <f>+F66</f>
        <v>5.3590833499187411E-2</v>
      </c>
      <c r="G97" s="54">
        <f>+G66</f>
        <v>-0.25096456856273891</v>
      </c>
      <c r="H97" s="64" t="s">
        <v>2</v>
      </c>
      <c r="I97" s="2" t="s">
        <v>480</v>
      </c>
    </row>
    <row r="98" spans="2:9" ht="18.75">
      <c r="B98" s="65" t="s">
        <v>26</v>
      </c>
      <c r="C98" s="70">
        <f>+C96/C97</f>
        <v>0.45202165933413541</v>
      </c>
      <c r="D98" s="70">
        <f t="shared" ref="D98:F98" si="13">+D96/D97</f>
        <v>0.63100384919519759</v>
      </c>
      <c r="E98" s="70">
        <f t="shared" si="13"/>
        <v>0.49107900146593536</v>
      </c>
      <c r="F98" s="70">
        <f t="shared" si="13"/>
        <v>1.8709364118896146</v>
      </c>
      <c r="G98" s="70">
        <f>+G96/G97</f>
        <v>-0.28678105153394501</v>
      </c>
      <c r="H98" s="68">
        <f>AVERAGE(C98:G98)</f>
        <v>0.63165197407018758</v>
      </c>
    </row>
  </sheetData>
  <hyperlinks>
    <hyperlink ref="A1" location="CONTENIDO!A6" display="1.2 INDUCTORES OPERATIVOS Y FINANCIEROS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8"/>
  <dimension ref="A1:F10"/>
  <sheetViews>
    <sheetView workbookViewId="0">
      <selection activeCell="F6" sqref="F6"/>
    </sheetView>
  </sheetViews>
  <sheetFormatPr baseColWidth="10" defaultRowHeight="15"/>
  <cols>
    <col min="1" max="1" width="28.28515625" bestFit="1" customWidth="1"/>
    <col min="2" max="3" width="14.140625" bestFit="1" customWidth="1"/>
    <col min="4" max="6" width="15.28515625" bestFit="1" customWidth="1"/>
  </cols>
  <sheetData>
    <row r="1" spans="1:6" ht="15.75">
      <c r="A1" s="32" t="s">
        <v>93</v>
      </c>
      <c r="B1" s="103"/>
      <c r="C1" s="103"/>
      <c r="D1" s="103"/>
      <c r="E1" s="103"/>
      <c r="F1" s="106"/>
    </row>
    <row r="2" spans="1:6" ht="15.75">
      <c r="A2" s="31" t="s">
        <v>94</v>
      </c>
      <c r="B2" s="103">
        <v>1455671763.8599999</v>
      </c>
      <c r="C2" s="103">
        <v>329220969.63999999</v>
      </c>
      <c r="D2" s="103">
        <v>485354357.98000002</v>
      </c>
      <c r="E2" s="103">
        <v>570874052.06000006</v>
      </c>
      <c r="F2" s="106">
        <v>513434147.57999998</v>
      </c>
    </row>
    <row r="3" spans="1:6" ht="15.75">
      <c r="A3" s="31" t="s">
        <v>158</v>
      </c>
      <c r="B3" s="103">
        <v>326960291</v>
      </c>
      <c r="C3" s="103">
        <v>1013357819.36</v>
      </c>
      <c r="D3" s="103">
        <v>744771060.400002</v>
      </c>
      <c r="E3" s="103">
        <v>1985140501.6399918</v>
      </c>
      <c r="F3" s="106">
        <v>260322366.42000002</v>
      </c>
    </row>
    <row r="4" spans="1:6" ht="15.75">
      <c r="A4" s="31" t="s">
        <v>161</v>
      </c>
      <c r="B4" s="103">
        <v>3286811702</v>
      </c>
      <c r="C4" s="103">
        <v>2481440071.96</v>
      </c>
      <c r="D4" s="103">
        <v>2743917543.0900021</v>
      </c>
      <c r="E4" s="103">
        <v>1645332952</v>
      </c>
      <c r="F4" s="106">
        <v>1898934714.2600098</v>
      </c>
    </row>
    <row r="5" spans="1:6" ht="15.75">
      <c r="A5" s="31" t="s">
        <v>160</v>
      </c>
      <c r="B5" s="103">
        <v>619052788</v>
      </c>
      <c r="C5" s="103">
        <v>266827840.94999999</v>
      </c>
      <c r="D5" s="103">
        <v>315150445</v>
      </c>
      <c r="E5" s="103">
        <v>294549130</v>
      </c>
      <c r="F5" s="106">
        <v>232886021.44999999</v>
      </c>
    </row>
    <row r="6" spans="1:6" ht="15.75">
      <c r="A6" s="31" t="s">
        <v>159</v>
      </c>
      <c r="B6" s="103">
        <v>202092117</v>
      </c>
      <c r="C6" s="103">
        <v>963229232</v>
      </c>
      <c r="D6" s="103">
        <v>8607486084.75</v>
      </c>
      <c r="E6" s="103">
        <v>27934211224.700001</v>
      </c>
      <c r="F6" s="106">
        <v>60942876531</v>
      </c>
    </row>
    <row r="7" spans="1:6" ht="15.75">
      <c r="A7" s="31" t="s">
        <v>120</v>
      </c>
      <c r="B7" s="103">
        <v>296129152.51999998</v>
      </c>
      <c r="C7" s="103">
        <v>393856735.27000004</v>
      </c>
      <c r="D7" s="103">
        <v>524505882.86000001</v>
      </c>
      <c r="E7" s="103">
        <v>542258827.32999992</v>
      </c>
      <c r="F7" s="106">
        <v>562600576.33000004</v>
      </c>
    </row>
    <row r="8" spans="1:6" ht="15.75">
      <c r="A8" s="31" t="s">
        <v>95</v>
      </c>
      <c r="B8" s="103">
        <v>1663303000</v>
      </c>
      <c r="C8" s="103">
        <v>1698723388.7332048</v>
      </c>
      <c r="D8" s="103">
        <v>1424459000</v>
      </c>
      <c r="E8" s="103">
        <v>322691667.31</v>
      </c>
      <c r="F8" s="106">
        <v>351623425.16999996</v>
      </c>
    </row>
    <row r="9" spans="1:6" ht="15.75">
      <c r="A9" s="31" t="s">
        <v>96</v>
      </c>
      <c r="B9" s="103">
        <v>46710300.189999998</v>
      </c>
      <c r="C9" s="103">
        <v>213637756.61000001</v>
      </c>
      <c r="D9" s="103">
        <v>158150755.53</v>
      </c>
      <c r="E9" s="103">
        <v>45686502</v>
      </c>
      <c r="F9" s="106">
        <v>39988942.18</v>
      </c>
    </row>
    <row r="10" spans="1:6" ht="15.75">
      <c r="A10" s="32" t="s">
        <v>97</v>
      </c>
      <c r="B10" s="102">
        <f>SUM(B2:B9)</f>
        <v>7896731114.5699987</v>
      </c>
      <c r="C10" s="102">
        <f>SUM(C2:C9)</f>
        <v>7360293814.5232048</v>
      </c>
      <c r="D10" s="102">
        <f>SUM(D2:D9)</f>
        <v>15003795129.610006</v>
      </c>
      <c r="E10" s="102">
        <f>SUM(E2:E9)</f>
        <v>33340744857.039997</v>
      </c>
      <c r="F10" s="107">
        <f>SUM(F2:F9)</f>
        <v>64802666724.390007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J65"/>
  <sheetViews>
    <sheetView zoomScale="70" zoomScaleNormal="70" workbookViewId="0"/>
  </sheetViews>
  <sheetFormatPr baseColWidth="10" defaultRowHeight="15"/>
  <cols>
    <col min="1" max="1" width="64" style="2" customWidth="1"/>
    <col min="2" max="2" width="60.7109375" style="2" bestFit="1" customWidth="1"/>
    <col min="3" max="3" width="23.140625" style="2" bestFit="1" customWidth="1"/>
    <col min="4" max="4" width="28.28515625" style="2" customWidth="1"/>
    <col min="5" max="5" width="23.28515625" style="2" customWidth="1"/>
    <col min="6" max="6" width="25.85546875" style="2" customWidth="1"/>
    <col min="7" max="7" width="25.42578125" style="2" customWidth="1"/>
    <col min="8" max="8" width="20" style="2" customWidth="1"/>
    <col min="9" max="9" width="11.42578125" style="2"/>
    <col min="10" max="10" width="13.140625" style="2" bestFit="1" customWidth="1"/>
    <col min="11" max="16384" width="11.42578125" style="2"/>
  </cols>
  <sheetData>
    <row r="1" spans="1:8" ht="27" thickBot="1">
      <c r="A1" s="137" t="s">
        <v>191</v>
      </c>
    </row>
    <row r="2" spans="1:8" ht="26.25">
      <c r="B2" s="4"/>
    </row>
    <row r="3" spans="1:8" ht="18.75">
      <c r="A3" s="3"/>
    </row>
    <row r="4" spans="1:8" ht="26.25">
      <c r="B4" s="119" t="s">
        <v>163</v>
      </c>
      <c r="C4" s="120"/>
      <c r="D4" s="120"/>
      <c r="E4" s="120"/>
      <c r="F4" s="120"/>
    </row>
    <row r="12" spans="1:8" ht="23.25">
      <c r="B12" s="7" t="s">
        <v>138</v>
      </c>
      <c r="C12" s="25">
        <f>'Estados Financieros'!C9</f>
        <v>2016</v>
      </c>
      <c r="D12" s="25">
        <f>'Estados Financieros'!D9</f>
        <v>2017</v>
      </c>
      <c r="E12" s="25">
        <f>'Estados Financieros'!E9</f>
        <v>2018</v>
      </c>
      <c r="F12" s="25">
        <f>'Estados Financieros'!F9</f>
        <v>2019</v>
      </c>
      <c r="G12" s="25">
        <f>'Estados Financieros'!G9</f>
        <v>2020</v>
      </c>
    </row>
    <row r="13" spans="1:8" ht="23.25">
      <c r="B13" s="7" t="s">
        <v>4</v>
      </c>
      <c r="C13" s="26">
        <f>+'Estados Financieros'!C26</f>
        <v>31666918930.940002</v>
      </c>
      <c r="D13" s="26">
        <f>+'Estados Financieros'!D26</f>
        <v>33843673120.527504</v>
      </c>
      <c r="E13" s="26">
        <f>+'Estados Financieros'!E26</f>
        <v>43877859613.470001</v>
      </c>
      <c r="F13" s="26">
        <f>+'Estados Financieros'!F26</f>
        <v>63125575551.490013</v>
      </c>
      <c r="G13" s="26">
        <f>+'Estados Financieros'!G26</f>
        <v>90039961328.5</v>
      </c>
    </row>
    <row r="14" spans="1:8" ht="23.25">
      <c r="B14" s="7" t="s">
        <v>5</v>
      </c>
      <c r="C14" s="26">
        <f>+'Estados Financieros'!C73</f>
        <v>1664069505.5899978</v>
      </c>
      <c r="D14" s="26">
        <f>+'Estados Financieros'!D73</f>
        <v>2123237759.8943005</v>
      </c>
      <c r="E14" s="26">
        <f>+'Estados Financieros'!E73</f>
        <v>2297211449.0599995</v>
      </c>
      <c r="F14" s="26">
        <f>+'Estados Financieros'!F73</f>
        <v>1407140596.7800007</v>
      </c>
      <c r="G14" s="26">
        <f>+'Estados Financieros'!G73</f>
        <v>651860806.84999514</v>
      </c>
      <c r="H14" s="52" t="s">
        <v>2</v>
      </c>
    </row>
    <row r="15" spans="1:8" ht="23.25">
      <c r="B15" s="51" t="s">
        <v>3</v>
      </c>
      <c r="C15" s="54">
        <f>+C14/C13</f>
        <v>5.2549144715311316E-2</v>
      </c>
      <c r="D15" s="54">
        <f t="shared" ref="D15:F15" si="0">+D14/D13</f>
        <v>6.2736622952621363E-2</v>
      </c>
      <c r="E15" s="54">
        <f t="shared" si="0"/>
        <v>5.2354683416571714E-2</v>
      </c>
      <c r="F15" s="54">
        <f t="shared" si="0"/>
        <v>2.2291132943924288E-2</v>
      </c>
      <c r="G15" s="54">
        <f>+G14/G13</f>
        <v>7.2396833276255988E-3</v>
      </c>
      <c r="H15" s="56">
        <f>SUM(AVERAGE(C15:G15))</f>
        <v>3.9434253471210858E-2</v>
      </c>
    </row>
    <row r="16" spans="1:8" ht="18.75">
      <c r="C16" s="24"/>
      <c r="D16" s="24"/>
      <c r="E16" s="24"/>
      <c r="F16" s="24"/>
      <c r="G16" s="24"/>
    </row>
    <row r="17" spans="2:10" ht="18.75">
      <c r="C17" s="24" t="s">
        <v>140</v>
      </c>
      <c r="D17" s="85">
        <f>MAX(C15:G15)</f>
        <v>6.2736622952621363E-2</v>
      </c>
      <c r="E17" s="24"/>
      <c r="F17" s="24"/>
      <c r="G17" s="24"/>
    </row>
    <row r="18" spans="2:10" ht="18.75">
      <c r="C18" s="24" t="s">
        <v>141</v>
      </c>
      <c r="D18" s="85">
        <f>MIN(C15:G15)</f>
        <v>7.2396833276255988E-3</v>
      </c>
      <c r="E18" s="24"/>
      <c r="F18" s="24"/>
      <c r="G18" s="24"/>
    </row>
    <row r="19" spans="2:10" ht="18.75">
      <c r="C19" s="24"/>
      <c r="D19" s="24"/>
      <c r="E19" s="24"/>
      <c r="F19" s="24"/>
      <c r="G19" s="24"/>
    </row>
    <row r="20" spans="2:10" ht="26.25">
      <c r="B20" s="119" t="s">
        <v>164</v>
      </c>
      <c r="C20" s="121"/>
      <c r="D20" s="121"/>
      <c r="E20" s="121"/>
      <c r="F20" s="121"/>
      <c r="G20" s="24"/>
    </row>
    <row r="21" spans="2:10" ht="18.75">
      <c r="C21" s="24"/>
      <c r="D21" s="24"/>
      <c r="E21" s="24"/>
      <c r="F21" s="24"/>
      <c r="G21" s="24"/>
    </row>
    <row r="22" spans="2:10" ht="18.75">
      <c r="C22" s="24"/>
      <c r="D22" s="24"/>
      <c r="E22" s="24"/>
      <c r="F22" s="24"/>
      <c r="G22" s="24"/>
    </row>
    <row r="23" spans="2:10" ht="18.75">
      <c r="C23" s="24"/>
      <c r="D23" s="24"/>
      <c r="E23" s="24"/>
      <c r="F23" s="24"/>
      <c r="G23" s="24"/>
    </row>
    <row r="24" spans="2:10" ht="18.75">
      <c r="C24" s="24"/>
      <c r="D24" s="24"/>
      <c r="E24" s="24"/>
      <c r="F24" s="24"/>
      <c r="G24" s="24"/>
    </row>
    <row r="25" spans="2:10" ht="18.75">
      <c r="C25" s="24"/>
      <c r="D25" s="24"/>
      <c r="E25" s="24"/>
      <c r="F25" s="24"/>
      <c r="G25" s="24"/>
    </row>
    <row r="26" spans="2:10" ht="18.75">
      <c r="C26" s="24"/>
      <c r="D26" s="24"/>
      <c r="E26" s="24"/>
      <c r="F26" s="24"/>
      <c r="G26" s="24"/>
    </row>
    <row r="27" spans="2:10" ht="28.5">
      <c r="B27" s="5" t="s">
        <v>12</v>
      </c>
      <c r="C27" s="24"/>
      <c r="D27" s="24"/>
      <c r="E27" s="24"/>
      <c r="F27" s="24"/>
      <c r="G27" s="24"/>
    </row>
    <row r="28" spans="2:10" ht="18.75">
      <c r="C28" s="25">
        <f t="shared" ref="C28:G28" si="1">C$12</f>
        <v>2016</v>
      </c>
      <c r="D28" s="25">
        <f t="shared" si="1"/>
        <v>2017</v>
      </c>
      <c r="E28" s="25">
        <f t="shared" si="1"/>
        <v>2018</v>
      </c>
      <c r="F28" s="25">
        <f t="shared" si="1"/>
        <v>2019</v>
      </c>
      <c r="G28" s="25">
        <f t="shared" si="1"/>
        <v>2020</v>
      </c>
    </row>
    <row r="29" spans="2:10" ht="23.25">
      <c r="B29" s="6" t="s">
        <v>8</v>
      </c>
      <c r="C29" s="26">
        <f>+'Estados Financieros'!C67</f>
        <v>3268287817.1499977</v>
      </c>
      <c r="D29" s="26">
        <f>+'Estados Financieros'!D67</f>
        <v>4184291993.9275055</v>
      </c>
      <c r="E29" s="26">
        <f>+'Estados Financieros'!E67</f>
        <v>4565089090.8999996</v>
      </c>
      <c r="F29" s="26">
        <f>+'Estados Financieros'!F67</f>
        <v>4338456308.6200008</v>
      </c>
      <c r="G29" s="26">
        <f>+'Estados Financieros'!G67</f>
        <v>3575268724.5999947</v>
      </c>
      <c r="J29" s="80"/>
    </row>
    <row r="30" spans="2:10" ht="23.25">
      <c r="B30" s="6" t="s">
        <v>9</v>
      </c>
      <c r="C30" s="54">
        <f>+'Estados Financieros'!C72/'Estados Financieros'!C71</f>
        <v>0.28384905354184065</v>
      </c>
      <c r="D30" s="54">
        <f>+'Estados Financieros'!D72/'Estados Financieros'!D71</f>
        <v>0.35288304405055587</v>
      </c>
      <c r="E30" s="54">
        <f>+'Estados Financieros'!E72/'Estados Financieros'!E71</f>
        <v>0.36143560034650246</v>
      </c>
      <c r="F30" s="54">
        <f>+'Estados Financieros'!F72/'Estados Financieros'!F71</f>
        <v>0.58246298139364638</v>
      </c>
      <c r="G30" s="54">
        <f>+'Estados Financieros'!G72/'Estados Financieros'!G71</f>
        <v>0.74142301776214459</v>
      </c>
      <c r="H30" s="53" t="s">
        <v>2</v>
      </c>
    </row>
    <row r="31" spans="2:10" ht="23.25">
      <c r="B31" s="51" t="s">
        <v>7</v>
      </c>
      <c r="C31" s="55">
        <f>+C29*(1-C30)</f>
        <v>2340587413.5496426</v>
      </c>
      <c r="D31" s="55">
        <f t="shared" ref="D31:G31" si="2">+D29*(1-D30)</f>
        <v>2707726297.9139972</v>
      </c>
      <c r="E31" s="55">
        <f t="shared" si="2"/>
        <v>2915103374.6952891</v>
      </c>
      <c r="F31" s="55">
        <f t="shared" si="2"/>
        <v>1811466112.4551215</v>
      </c>
      <c r="G31" s="55">
        <f t="shared" si="2"/>
        <v>924482197.49645281</v>
      </c>
      <c r="H31" s="86">
        <f>AVERAGE(C31:G31)</f>
        <v>2139873079.2221007</v>
      </c>
    </row>
    <row r="32" spans="2:10" ht="18.75">
      <c r="C32" s="55">
        <f>+'Estados Financieros'!C61</f>
        <v>23022505394.929996</v>
      </c>
      <c r="D32" s="55">
        <f>+'Estados Financieros'!D61</f>
        <v>26779815999</v>
      </c>
      <c r="E32" s="55">
        <f>+'Estados Financieros'!E61</f>
        <v>32806589929.220009</v>
      </c>
      <c r="F32" s="55">
        <f>+'Estados Financieros'!F61</f>
        <v>48267951070.199997</v>
      </c>
      <c r="G32" s="55">
        <f>+'Estados Financieros'!G61</f>
        <v>51117452420.909996</v>
      </c>
    </row>
    <row r="33" spans="2:9" ht="18.75">
      <c r="B33" s="72"/>
      <c r="C33" s="73"/>
      <c r="D33" s="73"/>
      <c r="E33" s="73"/>
      <c r="F33" s="73"/>
      <c r="G33" s="73"/>
      <c r="H33" s="72"/>
    </row>
    <row r="34" spans="2:9" ht="28.5">
      <c r="B34" s="5" t="s">
        <v>11</v>
      </c>
      <c r="C34" s="24"/>
      <c r="D34" s="24"/>
      <c r="E34" s="24"/>
      <c r="F34" s="24"/>
      <c r="G34" s="24"/>
    </row>
    <row r="35" spans="2:9" ht="18.75">
      <c r="C35" s="25">
        <f t="shared" ref="C35:G35" si="3">C$12</f>
        <v>2016</v>
      </c>
      <c r="D35" s="25">
        <f t="shared" si="3"/>
        <v>2017</v>
      </c>
      <c r="E35" s="25">
        <f t="shared" si="3"/>
        <v>2018</v>
      </c>
      <c r="F35" s="25">
        <f t="shared" si="3"/>
        <v>2019</v>
      </c>
      <c r="G35" s="25">
        <f t="shared" si="3"/>
        <v>2020</v>
      </c>
    </row>
    <row r="36" spans="2:9" ht="23.25">
      <c r="B36" s="6" t="s">
        <v>8</v>
      </c>
      <c r="C36" s="26">
        <f>+C29</f>
        <v>3268287817.1499977</v>
      </c>
      <c r="D36" s="26">
        <f t="shared" ref="D36:G36" si="4">+D29</f>
        <v>4184291993.9275055</v>
      </c>
      <c r="E36" s="26">
        <f t="shared" si="4"/>
        <v>4565089090.8999996</v>
      </c>
      <c r="F36" s="26">
        <f t="shared" si="4"/>
        <v>4338456308.6200008</v>
      </c>
      <c r="G36" s="26">
        <f t="shared" si="4"/>
        <v>3575268724.5999947</v>
      </c>
      <c r="H36" s="2" t="s">
        <v>482</v>
      </c>
    </row>
    <row r="37" spans="2:9" ht="23.25">
      <c r="B37" s="6" t="s">
        <v>122</v>
      </c>
      <c r="C37" s="54">
        <v>0.33</v>
      </c>
      <c r="D37" s="54">
        <v>0.33</v>
      </c>
      <c r="E37" s="54">
        <v>0.33</v>
      </c>
      <c r="F37" s="54">
        <v>0.33</v>
      </c>
      <c r="G37" s="54">
        <v>0.33</v>
      </c>
      <c r="H37" s="53" t="s">
        <v>2</v>
      </c>
      <c r="I37" s="2" t="s">
        <v>481</v>
      </c>
    </row>
    <row r="38" spans="2:9" ht="23.25">
      <c r="B38" s="51" t="s">
        <v>7</v>
      </c>
      <c r="C38" s="55">
        <f>+C36*(1-C37)</f>
        <v>2189752837.4904981</v>
      </c>
      <c r="D38" s="55">
        <f t="shared" ref="D38:F38" si="5">+D36*(1-D37)</f>
        <v>2803475635.9314284</v>
      </c>
      <c r="E38" s="55">
        <f t="shared" si="5"/>
        <v>3058609690.9029994</v>
      </c>
      <c r="F38" s="55">
        <f t="shared" si="5"/>
        <v>2906765726.7754002</v>
      </c>
      <c r="G38" s="55">
        <f>+G36*(1-G37)</f>
        <v>2395430045.4819961</v>
      </c>
      <c r="H38" s="86">
        <f>AVERAGE(C38:G38)</f>
        <v>2670806787.3164644</v>
      </c>
    </row>
    <row r="39" spans="2:9" ht="18.75">
      <c r="C39" s="24"/>
      <c r="D39" s="24"/>
      <c r="E39" s="24"/>
      <c r="F39" s="24"/>
      <c r="G39" s="24"/>
    </row>
    <row r="40" spans="2:9" ht="18.75">
      <c r="C40" s="24"/>
      <c r="D40" s="24"/>
      <c r="E40" s="24"/>
      <c r="F40" s="24"/>
      <c r="G40" s="24"/>
    </row>
    <row r="41" spans="2:9" ht="28.5">
      <c r="B41" s="122" t="s">
        <v>165</v>
      </c>
      <c r="C41" s="121"/>
      <c r="D41" s="24"/>
      <c r="E41" s="24"/>
      <c r="F41" s="24"/>
      <c r="G41" s="24"/>
    </row>
    <row r="42" spans="2:9" ht="18.75">
      <c r="C42" s="24"/>
      <c r="D42" s="24"/>
      <c r="E42" s="24"/>
      <c r="F42" s="24"/>
      <c r="G42" s="24"/>
    </row>
    <row r="43" spans="2:9" ht="18.75">
      <c r="B43" s="1"/>
      <c r="C43" s="24"/>
      <c r="D43" s="24"/>
      <c r="E43" s="24"/>
      <c r="F43" s="24"/>
      <c r="G43" s="24"/>
    </row>
    <row r="44" spans="2:9" ht="18.75">
      <c r="C44" s="24"/>
      <c r="D44" s="24"/>
      <c r="E44" s="24"/>
      <c r="F44" s="24"/>
      <c r="G44" s="24"/>
    </row>
    <row r="45" spans="2:9" ht="18.75">
      <c r="C45" s="24"/>
      <c r="D45" s="24"/>
      <c r="E45" s="24"/>
      <c r="F45" s="24"/>
      <c r="G45" s="24"/>
    </row>
    <row r="46" spans="2:9" ht="18.75">
      <c r="C46" s="24"/>
      <c r="D46" s="24"/>
      <c r="E46" s="24"/>
      <c r="F46" s="24"/>
      <c r="G46" s="24"/>
    </row>
    <row r="47" spans="2:9" ht="18.75">
      <c r="C47" s="24"/>
      <c r="D47" s="24"/>
      <c r="E47" s="24"/>
      <c r="F47" s="24"/>
      <c r="G47" s="24"/>
    </row>
    <row r="48" spans="2:9" ht="18.75">
      <c r="C48" s="24"/>
      <c r="D48" s="24"/>
      <c r="E48" s="24"/>
      <c r="F48" s="24"/>
      <c r="G48" s="24"/>
    </row>
    <row r="49" spans="1:8" ht="18.75">
      <c r="C49" s="25">
        <f t="shared" ref="C49:G49" si="6">C$12</f>
        <v>2016</v>
      </c>
      <c r="D49" s="25">
        <f t="shared" si="6"/>
        <v>2017</v>
      </c>
      <c r="E49" s="25">
        <f t="shared" si="6"/>
        <v>2018</v>
      </c>
      <c r="F49" s="25">
        <f t="shared" si="6"/>
        <v>2019</v>
      </c>
      <c r="G49" s="25">
        <f t="shared" si="6"/>
        <v>2020</v>
      </c>
    </row>
    <row r="50" spans="1:8" ht="23.25">
      <c r="B50" s="6" t="s">
        <v>13</v>
      </c>
      <c r="C50" s="26">
        <f>+'Estados Financieros'!C17</f>
        <v>14893610024.900002</v>
      </c>
      <c r="D50" s="26">
        <f>+'Estados Financieros'!D17</f>
        <v>14081113058.449999</v>
      </c>
      <c r="E50" s="26">
        <f>+'Estados Financieros'!E17</f>
        <v>23881923376.239998</v>
      </c>
      <c r="F50" s="26">
        <f>+'Estados Financieros'!F17</f>
        <v>41139740651.060013</v>
      </c>
      <c r="G50" s="26">
        <f>+'Estados Financieros'!G17</f>
        <v>65264760702.950005</v>
      </c>
    </row>
    <row r="51" spans="1:8" ht="23.25">
      <c r="B51" s="6" t="s">
        <v>14</v>
      </c>
      <c r="C51" s="26">
        <f>+'Estados Financieros'!C22</f>
        <v>8863280753.7800007</v>
      </c>
      <c r="D51" s="26">
        <f>+'Estados Financieros'!D22</f>
        <v>8259711192.4274998</v>
      </c>
      <c r="E51" s="26">
        <f>+'Estados Financieros'!E22</f>
        <v>7857112029.8400002</v>
      </c>
      <c r="F51" s="26">
        <f>+'Estados Financieros'!F22</f>
        <v>7949091527.6599998</v>
      </c>
      <c r="G51" s="26">
        <f>+'Estados Financieros'!G22</f>
        <v>7813014062.4299994</v>
      </c>
    </row>
    <row r="52" spans="1:8" ht="23.25">
      <c r="B52" s="6" t="s">
        <v>15</v>
      </c>
      <c r="C52" s="26">
        <f>+'Estados Financieros'!C31</f>
        <v>4434916898</v>
      </c>
      <c r="D52" s="26">
        <f>+'Estados Financieros'!D31</f>
        <v>4724854964.2700005</v>
      </c>
      <c r="E52" s="26">
        <f>+'Estados Financieros'!E31</f>
        <v>12411325133.240004</v>
      </c>
      <c r="F52" s="26">
        <f>+'Estados Financieros'!F31</f>
        <v>31859233808.339993</v>
      </c>
      <c r="G52" s="26">
        <f>+'Estados Financieros'!G31</f>
        <v>57190679522.930008</v>
      </c>
    </row>
    <row r="53" spans="1:8" ht="23.25">
      <c r="B53" s="6" t="s">
        <v>10</v>
      </c>
      <c r="C53" s="28">
        <f>+C50+C51-C52</f>
        <v>19321973880.68</v>
      </c>
      <c r="D53" s="28">
        <f t="shared" ref="D53:G53" si="7">+D50+D51-D52</f>
        <v>17615969286.607498</v>
      </c>
      <c r="E53" s="28">
        <f t="shared" si="7"/>
        <v>19327710272.839996</v>
      </c>
      <c r="F53" s="28">
        <f t="shared" si="7"/>
        <v>17229598370.380024</v>
      </c>
      <c r="G53" s="28">
        <f t="shared" si="7"/>
        <v>15887095242.449997</v>
      </c>
    </row>
    <row r="54" spans="1:8" ht="18.75">
      <c r="C54" s="24"/>
      <c r="D54" s="24"/>
      <c r="E54" s="24"/>
      <c r="F54" s="24"/>
      <c r="G54" s="24"/>
    </row>
    <row r="55" spans="1:8" ht="18.75">
      <c r="C55" s="24"/>
      <c r="D55" s="24"/>
      <c r="E55" s="24"/>
      <c r="F55" s="24"/>
      <c r="G55" s="24"/>
    </row>
    <row r="56" spans="1:8" ht="18.75">
      <c r="C56" s="25">
        <f t="shared" ref="C56:G56" si="8">C$12</f>
        <v>2016</v>
      </c>
      <c r="D56" s="25">
        <f t="shared" si="8"/>
        <v>2017</v>
      </c>
      <c r="E56" s="25">
        <f t="shared" si="8"/>
        <v>2018</v>
      </c>
      <c r="F56" s="25">
        <f t="shared" si="8"/>
        <v>2019</v>
      </c>
      <c r="G56" s="25">
        <f t="shared" si="8"/>
        <v>2020</v>
      </c>
    </row>
    <row r="57" spans="1:8" ht="23.25">
      <c r="B57" s="7" t="s">
        <v>7</v>
      </c>
      <c r="C57" s="26">
        <f>+C31</f>
        <v>2340587413.5496426</v>
      </c>
      <c r="D57" s="26">
        <f t="shared" ref="D57:F57" si="9">+D31</f>
        <v>2707726297.9139972</v>
      </c>
      <c r="E57" s="26">
        <f t="shared" si="9"/>
        <v>2915103374.6952891</v>
      </c>
      <c r="F57" s="26">
        <f t="shared" si="9"/>
        <v>1811466112.4551215</v>
      </c>
      <c r="G57" s="26">
        <f>+G31</f>
        <v>924482197.49645281</v>
      </c>
    </row>
    <row r="58" spans="1:8" ht="23.25">
      <c r="B58" s="7" t="s">
        <v>10</v>
      </c>
      <c r="C58" s="26">
        <f>+C53</f>
        <v>19321973880.68</v>
      </c>
      <c r="D58" s="26">
        <f t="shared" ref="D58:G58" si="10">+D53</f>
        <v>17615969286.607498</v>
      </c>
      <c r="E58" s="26">
        <f t="shared" si="10"/>
        <v>19327710272.839996</v>
      </c>
      <c r="F58" s="26">
        <f t="shared" si="10"/>
        <v>17229598370.380024</v>
      </c>
      <c r="G58" s="26">
        <f t="shared" si="10"/>
        <v>15887095242.449997</v>
      </c>
      <c r="H58" s="53" t="s">
        <v>2</v>
      </c>
    </row>
    <row r="59" spans="1:8" ht="23.25">
      <c r="B59" s="51" t="s">
        <v>6</v>
      </c>
      <c r="C59" s="54">
        <f>+C57/C58</f>
        <v>0.12113604065524541</v>
      </c>
      <c r="D59" s="54">
        <f t="shared" ref="D59:G59" si="11">+D57/D58</f>
        <v>0.15370861823496368</v>
      </c>
      <c r="E59" s="54">
        <f t="shared" si="11"/>
        <v>0.15082507620117314</v>
      </c>
      <c r="F59" s="54">
        <f t="shared" si="11"/>
        <v>0.10513687397201743</v>
      </c>
      <c r="G59" s="54">
        <f t="shared" si="11"/>
        <v>5.8190763219336354E-2</v>
      </c>
      <c r="H59" s="87">
        <f>AVERAGE(C59:G59)</f>
        <v>0.11779947445654719</v>
      </c>
    </row>
    <row r="60" spans="1:8" ht="18.75">
      <c r="C60" s="24"/>
      <c r="D60" s="24"/>
      <c r="E60" s="24"/>
      <c r="F60" s="24"/>
      <c r="G60" s="24"/>
    </row>
    <row r="61" spans="1:8" ht="18.75">
      <c r="C61" s="24"/>
      <c r="D61" s="24"/>
      <c r="E61" s="24"/>
      <c r="F61" s="24"/>
      <c r="G61" s="24"/>
    </row>
    <row r="62" spans="1:8" ht="18.75">
      <c r="C62" s="24"/>
      <c r="D62" s="24"/>
      <c r="E62" s="24"/>
      <c r="F62" s="24"/>
      <c r="G62" s="24"/>
    </row>
    <row r="63" spans="1:8" ht="23.25">
      <c r="B63" s="51" t="s">
        <v>3</v>
      </c>
      <c r="C63" s="56">
        <f>+H15</f>
        <v>3.9434253471210858E-2</v>
      </c>
      <c r="D63" s="24"/>
      <c r="E63" s="24"/>
      <c r="F63" s="24"/>
      <c r="G63" s="24"/>
    </row>
    <row r="64" spans="1:8" ht="23.25">
      <c r="A64" s="3"/>
      <c r="B64" s="51" t="s">
        <v>6</v>
      </c>
      <c r="C64" s="56">
        <f>+H59</f>
        <v>0.11779947445654719</v>
      </c>
      <c r="D64" s="24"/>
      <c r="E64" s="3" t="s">
        <v>142</v>
      </c>
      <c r="F64" s="24"/>
      <c r="G64" s="24"/>
    </row>
    <row r="65" spans="2:7" ht="23.25">
      <c r="B65" s="51" t="s">
        <v>123</v>
      </c>
      <c r="C65" s="57">
        <f>+C63-C64</f>
        <v>-7.8365220985336326E-2</v>
      </c>
      <c r="D65" s="24"/>
      <c r="E65" s="24"/>
      <c r="F65" s="24"/>
      <c r="G65" s="24"/>
    </row>
  </sheetData>
  <hyperlinks>
    <hyperlink ref="A1" location="CONTENIDO!A7" display="1.3 INDUCTORES DE RENTABILIDAD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1:P41"/>
  <sheetViews>
    <sheetView tabSelected="1" topLeftCell="B10" zoomScale="70" zoomScaleNormal="70" workbookViewId="0">
      <selection activeCell="F34" sqref="F34"/>
    </sheetView>
  </sheetViews>
  <sheetFormatPr baseColWidth="10" defaultRowHeight="15"/>
  <cols>
    <col min="1" max="1" width="60.85546875" style="2" customWidth="1"/>
    <col min="2" max="2" width="43.7109375" style="2" bestFit="1" customWidth="1"/>
    <col min="3" max="3" width="19.140625" style="2" customWidth="1"/>
    <col min="4" max="4" width="19" style="2" customWidth="1"/>
    <col min="5" max="5" width="18.7109375" style="2" customWidth="1"/>
    <col min="6" max="6" width="19.140625" style="2" customWidth="1"/>
    <col min="7" max="7" width="21" style="2" customWidth="1"/>
    <col min="8" max="8" width="63.140625" style="2" bestFit="1" customWidth="1"/>
    <col min="9" max="9" width="11.42578125" style="2"/>
    <col min="10" max="10" width="19.7109375" style="2" bestFit="1" customWidth="1"/>
    <col min="11" max="11" width="16.28515625" style="2" bestFit="1" customWidth="1"/>
    <col min="12" max="15" width="11.42578125" style="2"/>
    <col min="16" max="16" width="13.85546875" style="2" customWidth="1"/>
    <col min="17" max="16384" width="11.42578125" style="2"/>
  </cols>
  <sheetData>
    <row r="1" spans="1:16" ht="27" thickBot="1">
      <c r="A1" s="137" t="s">
        <v>191</v>
      </c>
    </row>
    <row r="2" spans="1:16" ht="26.25">
      <c r="C2" s="4" t="s">
        <v>66</v>
      </c>
    </row>
    <row r="3" spans="1:16" ht="15.75" thickBot="1"/>
    <row r="4" spans="1:16" ht="19.5" thickBot="1">
      <c r="B4" s="473" t="s">
        <v>67</v>
      </c>
      <c r="C4" s="474"/>
      <c r="D4" s="474"/>
      <c r="E4" s="474"/>
      <c r="F4" s="474"/>
      <c r="G4" s="475"/>
    </row>
    <row r="5" spans="1:16" ht="15.75" thickBot="1">
      <c r="B5" s="16" t="s">
        <v>28</v>
      </c>
      <c r="C5" s="17">
        <f>'Flujo de Caja'!C4</f>
        <v>2016</v>
      </c>
      <c r="D5" s="17">
        <f>'Flujo de Caja'!D4</f>
        <v>2017</v>
      </c>
      <c r="E5" s="17">
        <f>'Flujo de Caja'!E4</f>
        <v>2018</v>
      </c>
      <c r="F5" s="17">
        <f>'Flujo de Caja'!F4</f>
        <v>2019</v>
      </c>
      <c r="G5" s="17">
        <f>'Flujo de Caja'!G4</f>
        <v>2020</v>
      </c>
    </row>
    <row r="6" spans="1:16" ht="15.75" thickBot="1">
      <c r="B6" s="48" t="s">
        <v>29</v>
      </c>
      <c r="C6" s="9"/>
      <c r="D6" s="9"/>
      <c r="E6" s="9"/>
      <c r="F6" s="9"/>
      <c r="G6" s="9"/>
    </row>
    <row r="7" spans="1:16">
      <c r="B7" s="10" t="s">
        <v>30</v>
      </c>
      <c r="C7" s="11">
        <f>+'Estados Financieros'!C64/'Estados Financieros'!C61</f>
        <v>0.75609791214006683</v>
      </c>
      <c r="D7" s="11">
        <f>+'Estados Financieros'!D64/'Estados Financieros'!D61</f>
        <v>0.73213699529384879</v>
      </c>
      <c r="E7" s="11">
        <f>+'Estados Financieros'!E64/'Estados Financieros'!E61</f>
        <v>0.65907907841319746</v>
      </c>
      <c r="F7" s="11">
        <f>+'Estados Financieros'!F64/'Estados Financieros'!F61</f>
        <v>0.46202145888451096</v>
      </c>
      <c r="G7" s="11">
        <f>+'Estados Financieros'!G64/'Estados Financieros'!G61</f>
        <v>0.36319891738160071</v>
      </c>
      <c r="H7" s="9" t="s">
        <v>31</v>
      </c>
      <c r="I7" s="2">
        <f>+G7/F7-1</f>
        <v>-0.21389167018671396</v>
      </c>
    </row>
    <row r="8" spans="1:16">
      <c r="B8" s="10" t="s">
        <v>32</v>
      </c>
      <c r="C8" s="11">
        <f>+'Estados Financieros'!C67/'Estados Financieros'!C61</f>
        <v>0.14196056254892825</v>
      </c>
      <c r="D8" s="11">
        <f>+'Estados Financieros'!D67/'Estados Financieros'!D61</f>
        <v>0.15624797399966278</v>
      </c>
      <c r="E8" s="11">
        <f>+'Estados Financieros'!E67/'Estados Financieros'!E61</f>
        <v>0.13915158816412032</v>
      </c>
      <c r="F8" s="11">
        <f>+'Estados Financieros'!F67/'Estados Financieros'!F61</f>
        <v>8.988275268428593E-2</v>
      </c>
      <c r="G8" s="11">
        <f>+'Estados Financieros'!G67/'Estados Financieros'!G61</f>
        <v>6.9942232159001388E-2</v>
      </c>
      <c r="H8" s="10" t="s">
        <v>33</v>
      </c>
    </row>
    <row r="9" spans="1:16">
      <c r="B9" s="10" t="s">
        <v>34</v>
      </c>
      <c r="C9" s="11">
        <f>+'Estados Financieros'!C73/'Estados Financieros'!C61</f>
        <v>7.2280122299654595E-2</v>
      </c>
      <c r="D9" s="11">
        <f>+'Estados Financieros'!D73/'Estados Financieros'!D61</f>
        <v>7.9285001807838609E-2</v>
      </c>
      <c r="E9" s="11">
        <f>+'Estados Financieros'!E73/'Estados Financieros'!E61</f>
        <v>7.0022865955169905E-2</v>
      </c>
      <c r="F9" s="11">
        <f>+'Estados Financieros'!F73/'Estados Financieros'!F61</f>
        <v>2.9152689633199509E-2</v>
      </c>
      <c r="G9" s="11">
        <f>+'Estados Financieros'!G73/'Estados Financieros'!G61</f>
        <v>1.2752216238838741E-2</v>
      </c>
      <c r="H9" s="10" t="s">
        <v>35</v>
      </c>
      <c r="I9" s="2">
        <f>+F9/E9-1</f>
        <v>-0.58366900246751308</v>
      </c>
    </row>
    <row r="10" spans="1:16" ht="15.75" thickBot="1">
      <c r="B10" s="12" t="s">
        <v>36</v>
      </c>
      <c r="C10" s="13">
        <f>+'Estados Financieros'!C73/'Estados Financieros'!C52</f>
        <v>0.40577514640693024</v>
      </c>
      <c r="D10" s="13">
        <f>+'Estados Financieros'!D73/'Estados Financieros'!D52</f>
        <v>0.34112608243670339</v>
      </c>
      <c r="E10" s="13">
        <f>+'Estados Financieros'!E73/'Estados Financieros'!E52</f>
        <v>0.26958102338559564</v>
      </c>
      <c r="F10" s="13">
        <f>+'Estados Financieros'!F73/'Estados Financieros'!F52</f>
        <v>0.14172663436501395</v>
      </c>
      <c r="G10" s="13">
        <f>+'Estados Financieros'!G73/'Estados Financieros'!G52</f>
        <v>6.1610134873488556E-2</v>
      </c>
      <c r="H10" s="12" t="s">
        <v>37</v>
      </c>
    </row>
    <row r="11" spans="1:16">
      <c r="B11" s="15"/>
      <c r="C11" s="22"/>
      <c r="D11" s="22"/>
      <c r="E11" s="22"/>
      <c r="F11" s="22"/>
      <c r="G11" s="22"/>
      <c r="H11" s="15"/>
    </row>
    <row r="12" spans="1:16" ht="15.75" thickBot="1">
      <c r="B12" s="15"/>
      <c r="C12" s="22"/>
      <c r="D12" s="22"/>
      <c r="E12" s="22"/>
      <c r="F12" s="22"/>
      <c r="G12" s="22"/>
      <c r="H12" s="15"/>
    </row>
    <row r="13" spans="1:16" ht="19.5" thickBot="1">
      <c r="B13" s="476" t="s">
        <v>67</v>
      </c>
      <c r="C13" s="477"/>
      <c r="D13" s="477"/>
      <c r="E13" s="477"/>
      <c r="F13" s="477"/>
      <c r="G13" s="478"/>
    </row>
    <row r="14" spans="1:16" ht="15.75" thickBot="1">
      <c r="B14" s="48" t="s">
        <v>38</v>
      </c>
      <c r="C14" s="127">
        <f>C5</f>
        <v>2016</v>
      </c>
      <c r="D14" s="127">
        <f>D5</f>
        <v>2017</v>
      </c>
      <c r="E14" s="127">
        <f>E5</f>
        <v>2018</v>
      </c>
      <c r="F14" s="127">
        <f>F5</f>
        <v>2019</v>
      </c>
      <c r="G14" s="127">
        <f>G5</f>
        <v>2020</v>
      </c>
      <c r="J14" s="92" t="s">
        <v>149</v>
      </c>
      <c r="K14" s="93" t="s">
        <v>154</v>
      </c>
      <c r="L14" s="93" t="s">
        <v>152</v>
      </c>
      <c r="M14" s="93" t="s">
        <v>153</v>
      </c>
      <c r="N14" s="93"/>
      <c r="O14" s="93"/>
      <c r="P14" s="94"/>
    </row>
    <row r="15" spans="1:16">
      <c r="B15" s="128" t="s">
        <v>39</v>
      </c>
      <c r="C15" s="129">
        <f>+'Estados Financieros'!C17-'Estados Financieros'!C35</f>
        <v>6996878910.3300028</v>
      </c>
      <c r="D15" s="129">
        <f>+'Estados Financieros'!D17-'Estados Financieros'!D35</f>
        <v>6720819243.9267931</v>
      </c>
      <c r="E15" s="129">
        <f>+'Estados Financieros'!E17-'Estados Financieros'!E35</f>
        <v>8878128246.6299934</v>
      </c>
      <c r="F15" s="129">
        <f>+'Estados Financieros'!F17-'Estados Financieros'!F35</f>
        <v>7798995794.0200157</v>
      </c>
      <c r="G15" s="129">
        <f>+'Estados Financieros'!G17-'Estados Financieros'!G35</f>
        <v>5764450656.7499924</v>
      </c>
      <c r="H15" s="9" t="s">
        <v>40</v>
      </c>
      <c r="J15" s="95" t="s">
        <v>149</v>
      </c>
      <c r="K15" s="96" t="s">
        <v>150</v>
      </c>
      <c r="L15" s="96" t="s">
        <v>152</v>
      </c>
      <c r="M15" s="96"/>
      <c r="N15" s="96"/>
      <c r="O15" s="96"/>
      <c r="P15" s="97"/>
    </row>
    <row r="16" spans="1:16" ht="15.75" thickBot="1">
      <c r="B16" s="130" t="s">
        <v>41</v>
      </c>
      <c r="C16" s="23">
        <f>+'Estados Financieros'!C17/'Estados Financieros'!C35</f>
        <v>1.8860475060902469</v>
      </c>
      <c r="D16" s="23">
        <f>+'Estados Financieros'!D17/'Estados Financieros'!D35</f>
        <v>1.913118336480724</v>
      </c>
      <c r="E16" s="23">
        <f>+'Estados Financieros'!E17/'Estados Financieros'!E35</f>
        <v>1.5917255047763881</v>
      </c>
      <c r="F16" s="23">
        <f>+'Estados Financieros'!F17/'Estados Financieros'!F35</f>
        <v>1.2339178631869478</v>
      </c>
      <c r="G16" s="23">
        <f>+'Estados Financieros'!G17/'Estados Financieros'!G35</f>
        <v>1.0968810188093825</v>
      </c>
      <c r="H16" s="10" t="s">
        <v>42</v>
      </c>
      <c r="J16" s="98" t="s">
        <v>149</v>
      </c>
      <c r="K16" s="99" t="s">
        <v>151</v>
      </c>
      <c r="L16" s="99" t="s">
        <v>152</v>
      </c>
      <c r="M16" s="99"/>
      <c r="N16" s="99"/>
      <c r="O16" s="99"/>
      <c r="P16" s="100"/>
    </row>
    <row r="17" spans="2:11">
      <c r="B17" s="130" t="s">
        <v>43</v>
      </c>
      <c r="C17" s="23">
        <f>+('Estados Financieros'!C17-'Estados Financieros'!C15)/('Estados Financieros'!C35)</f>
        <v>1.5728484430910408</v>
      </c>
      <c r="D17" s="23">
        <f>+('Estados Financieros'!D17-'Estados Financieros'!D15)/('Estados Financieros'!D35)</f>
        <v>1.5686539846912242</v>
      </c>
      <c r="E17" s="23">
        <f>+('Estados Financieros'!E17-'Estados Financieros'!E15)/('Estados Financieros'!E35)</f>
        <v>1.4040761188677722</v>
      </c>
      <c r="F17" s="23">
        <f>+('Estados Financieros'!F17-'Estados Financieros'!F15)/('Estados Financieros'!F35)</f>
        <v>0.97666331543892626</v>
      </c>
      <c r="G17" s="23">
        <f>+('Estados Financieros'!G17-'Estados Financieros'!G15)/('Estados Financieros'!G35)</f>
        <v>0.73334435991257008</v>
      </c>
      <c r="H17" s="10" t="s">
        <v>68</v>
      </c>
    </row>
    <row r="18" spans="2:11" ht="15.75" thickBot="1">
      <c r="B18" s="41" t="s">
        <v>182</v>
      </c>
      <c r="C18" s="131">
        <f>+'Estados Financieros'!C26/'Estados Financieros'!C43</f>
        <v>1.148769185896475</v>
      </c>
      <c r="D18" s="131">
        <f>+'Estados Financieros'!D26/'Estados Financieros'!D43</f>
        <v>1.2253555974025967</v>
      </c>
      <c r="E18" s="131">
        <f>+'Estados Financieros'!E26/'Estados Financieros'!E43</f>
        <v>1.2410144341899261</v>
      </c>
      <c r="F18" s="131">
        <f>+'Estados Financieros'!F26/'Estados Financieros'!F43</f>
        <v>1.1866374124825754</v>
      </c>
      <c r="G18" s="131">
        <f>+'Estados Financieros'!G26/'Estados Financieros'!G43</f>
        <v>1.1331547397732462</v>
      </c>
      <c r="H18" s="12" t="s">
        <v>183</v>
      </c>
    </row>
    <row r="19" spans="2:11" ht="15.75" thickBot="1">
      <c r="B19" s="15"/>
      <c r="C19" s="23"/>
      <c r="D19" s="23"/>
      <c r="E19" s="23"/>
      <c r="F19" s="23"/>
      <c r="G19" s="23"/>
      <c r="H19" s="15"/>
    </row>
    <row r="20" spans="2:11" ht="19.5" thickBot="1">
      <c r="B20" s="479" t="s">
        <v>67</v>
      </c>
      <c r="C20" s="480"/>
      <c r="D20" s="480"/>
      <c r="E20" s="480"/>
      <c r="F20" s="480"/>
      <c r="G20" s="481"/>
    </row>
    <row r="21" spans="2:11" ht="15.75" thickBot="1">
      <c r="B21" s="8" t="s">
        <v>44</v>
      </c>
      <c r="C21" s="18">
        <f>C14</f>
        <v>2016</v>
      </c>
      <c r="D21" s="18">
        <f>D14</f>
        <v>2017</v>
      </c>
      <c r="E21" s="18">
        <f>E14</f>
        <v>2018</v>
      </c>
      <c r="F21" s="18">
        <f>F14</f>
        <v>2019</v>
      </c>
      <c r="G21" s="18">
        <f>G14</f>
        <v>2020</v>
      </c>
    </row>
    <row r="22" spans="2:11">
      <c r="B22" s="9" t="s">
        <v>45</v>
      </c>
      <c r="C22" s="14">
        <f>+'Estados Financieros'!C43/'Estados Financieros'!C26</f>
        <v>0.8704968868220655</v>
      </c>
      <c r="D22" s="14">
        <f>+'Estados Financieros'!D43/'Estados Financieros'!D26</f>
        <v>0.81608963318053451</v>
      </c>
      <c r="E22" s="14">
        <f>+'Estados Financieros'!E43/'Estados Financieros'!E26</f>
        <v>0.8057924005152699</v>
      </c>
      <c r="F22" s="14">
        <f>+'Estados Financieros'!F43/'Estados Financieros'!F26</f>
        <v>0.84271740422197761</v>
      </c>
      <c r="G22" s="14">
        <f>+'Estados Financieros'!G43/'Estados Financieros'!G26</f>
        <v>0.88249200651987603</v>
      </c>
      <c r="H22" s="9" t="s">
        <v>46</v>
      </c>
    </row>
    <row r="23" spans="2:11">
      <c r="B23" s="10" t="s">
        <v>47</v>
      </c>
      <c r="C23" s="11">
        <f>+'Estados Financieros'!C35/'Estados Financieros'!C43</f>
        <v>0.28646681394900897</v>
      </c>
      <c r="D23" s="11">
        <f>+'Estados Financieros'!D35/'Estados Financieros'!D43</f>
        <v>0.26648931373478374</v>
      </c>
      <c r="E23" s="11">
        <f>+'Estados Financieros'!E35/'Estados Financieros'!E43</f>
        <v>0.42435812702583209</v>
      </c>
      <c r="F23" s="11">
        <f>+'Estados Financieros'!F35/'Estados Financieros'!F43</f>
        <v>0.62674082353718552</v>
      </c>
      <c r="G23" s="11">
        <f>+'Estados Financieros'!G35/'Estados Financieros'!G43</f>
        <v>0.74881260889089341</v>
      </c>
      <c r="H23" s="10" t="s">
        <v>48</v>
      </c>
    </row>
    <row r="24" spans="2:11" ht="15.75" thickBot="1">
      <c r="B24" s="12" t="s">
        <v>49</v>
      </c>
      <c r="C24" s="13">
        <f>+'Estados Financieros'!C42/'Estados Financieros'!C43</f>
        <v>0.71353318605099092</v>
      </c>
      <c r="D24" s="13">
        <f>+'Estados Financieros'!D42/'Estados Financieros'!D43</f>
        <v>0.73351068626521632</v>
      </c>
      <c r="E24" s="13">
        <f>+'Estados Financieros'!E42/'Estados Financieros'!E43</f>
        <v>0.57564187297416791</v>
      </c>
      <c r="F24" s="13">
        <f>+'Estados Financieros'!F42/'Estados Financieros'!F43</f>
        <v>0.37325917646281453</v>
      </c>
      <c r="G24" s="13">
        <f>+'Estados Financieros'!G42/'Estados Financieros'!G43</f>
        <v>0.25118739110910659</v>
      </c>
      <c r="H24" s="12" t="s">
        <v>50</v>
      </c>
    </row>
    <row r="25" spans="2:11" ht="15.75" thickBot="1"/>
    <row r="26" spans="2:11" ht="19.5" thickBot="1">
      <c r="B26" s="482" t="s">
        <v>133</v>
      </c>
      <c r="C26" s="483"/>
      <c r="D26" s="483"/>
      <c r="E26" s="483"/>
      <c r="F26" s="483"/>
      <c r="G26" s="484"/>
      <c r="H26" s="49"/>
    </row>
    <row r="27" spans="2:11" ht="15.75" thickBot="1">
      <c r="B27" s="8" t="s">
        <v>51</v>
      </c>
      <c r="C27" s="19">
        <f>C21</f>
        <v>2016</v>
      </c>
      <c r="D27" s="19">
        <f>D21</f>
        <v>2017</v>
      </c>
      <c r="E27" s="19">
        <f>E21</f>
        <v>2018</v>
      </c>
      <c r="F27" s="19">
        <f>F21</f>
        <v>2019</v>
      </c>
      <c r="G27" s="19">
        <f>G21</f>
        <v>2020</v>
      </c>
    </row>
    <row r="28" spans="2:11">
      <c r="B28" s="9" t="s">
        <v>52</v>
      </c>
      <c r="C28" s="90">
        <f>+'Estados Financieros'!C61/'Estados Financieros'!C52</f>
        <v>5.6139244580230789</v>
      </c>
      <c r="D28" s="90">
        <f>+'Estados Financieros'!D61/'Estados Financieros'!D52</f>
        <v>4.3025297932575377</v>
      </c>
      <c r="E28" s="90">
        <f>+'Estados Financieros'!E61/'Estados Financieros'!E52</f>
        <v>3.849899882106897</v>
      </c>
      <c r="F28" s="90">
        <f>+'Estados Financieros'!F61/'Estados Financieros'!F52</f>
        <v>4.8615285981576664</v>
      </c>
      <c r="G28" s="90">
        <f>+'Estados Financieros'!G61/'Estados Financieros'!G52</f>
        <v>4.8313276468639135</v>
      </c>
      <c r="H28" s="9" t="s">
        <v>53</v>
      </c>
    </row>
    <row r="29" spans="2:11">
      <c r="B29" s="10" t="s">
        <v>54</v>
      </c>
      <c r="C29" s="91">
        <f>+'Estados Financieros'!C61/'Estados Financieros'!C26</f>
        <v>0.72702069453419338</v>
      </c>
      <c r="D29" s="91">
        <f>+'Estados Financieros'!D61/'Estados Financieros'!D26</f>
        <v>0.79127983252967304</v>
      </c>
      <c r="E29" s="91">
        <f>+'Estados Financieros'!E61/'Estados Financieros'!E26</f>
        <v>0.74767981433508124</v>
      </c>
      <c r="F29" s="91">
        <f>+'Estados Financieros'!F61/'Estados Financieros'!F26</f>
        <v>0.76463383737117752</v>
      </c>
      <c r="G29" s="91">
        <f>+'Estados Financieros'!G61/'Estados Financieros'!G26</f>
        <v>0.56771961767524648</v>
      </c>
      <c r="H29" s="10" t="s">
        <v>55</v>
      </c>
    </row>
    <row r="30" spans="2:11">
      <c r="B30" s="10" t="s">
        <v>56</v>
      </c>
      <c r="C30" s="91">
        <f>+'Estados Financieros'!C61/'Estados Financieros'!C14</f>
        <v>2.0220882446210124</v>
      </c>
      <c r="D30" s="91">
        <f>+'Estados Financieros'!D61/'Estados Financieros'!D14</f>
        <v>2.5039792946254122</v>
      </c>
      <c r="E30" s="91">
        <f>+'Estados Financieros'!E61/'Estados Financieros'!E14</f>
        <v>1.6357644997171863</v>
      </c>
      <c r="F30" s="91">
        <f>+'Estados Financieros'!F61/'Estados Financieros'!F14</f>
        <v>1.8658682759627863</v>
      </c>
      <c r="G30" s="91">
        <f>+'Estados Financieros'!G61/'Estados Financieros'!G14</f>
        <v>2.2487529815671632</v>
      </c>
      <c r="H30" s="10" t="s">
        <v>57</v>
      </c>
      <c r="I30" s="132"/>
      <c r="J30" s="132">
        <f>+E30/D30-1</f>
        <v>-0.34673401524197034</v>
      </c>
      <c r="K30" s="132">
        <f>+F30/E30-1</f>
        <v>0.14067047932962451</v>
      </c>
    </row>
    <row r="31" spans="2:11">
      <c r="B31" s="10" t="s">
        <v>58</v>
      </c>
      <c r="C31" s="91">
        <f>+('Estados Financieros'!C14/'Estados Financieros'!C61)*365</f>
        <v>180.50646452791662</v>
      </c>
      <c r="D31" s="91">
        <f>+('Estados Financieros'!D14/'Estados Financieros'!D61)*365</f>
        <v>145.76797850662854</v>
      </c>
      <c r="E31" s="91">
        <f>+('Estados Financieros'!E14/'Estados Financieros'!E61)*365</f>
        <v>223.13725482067025</v>
      </c>
      <c r="F31" s="91">
        <f>+('Estados Financieros'!F14/'Estados Financieros'!F61)*365</f>
        <v>195.61938251598193</v>
      </c>
      <c r="G31" s="91">
        <f>+('Estados Financieros'!G14/'Estados Financieros'!G61)*365</f>
        <v>162.31218056935288</v>
      </c>
      <c r="H31" s="10" t="s">
        <v>59</v>
      </c>
    </row>
    <row r="32" spans="2:11">
      <c r="B32" s="10" t="s">
        <v>60</v>
      </c>
      <c r="C32" s="91">
        <f>+('Estados Financieros'!C15/'Estados Financieros'!C62)*365</f>
        <v>160.76539340279868</v>
      </c>
      <c r="D32" s="91">
        <f>+('Estados Financieros'!D15/'Estados Financieros'!D62)*365</f>
        <v>129.00661346444633</v>
      </c>
      <c r="E32" s="91">
        <f>+('Estados Financieros'!E15/'Estados Financieros'!E62)*365</f>
        <v>91.881143910502374</v>
      </c>
      <c r="F32" s="91">
        <f>+('Estados Financieros'!F15/'Estados Financieros'!F62)*365</f>
        <v>120.56115689873386</v>
      </c>
      <c r="G32" s="91">
        <f>+('Estados Financieros'!G15/'Estados Financieros'!G62)*365</f>
        <v>242.54219869561717</v>
      </c>
      <c r="H32" s="10" t="s">
        <v>61</v>
      </c>
    </row>
    <row r="33" spans="2:8">
      <c r="B33" s="10" t="s">
        <v>62</v>
      </c>
      <c r="C33" s="91">
        <f>+C31+C32</f>
        <v>341.27185793071533</v>
      </c>
      <c r="D33" s="91">
        <f t="shared" ref="D33:G33" si="0">+D31+D32</f>
        <v>274.77459197107487</v>
      </c>
      <c r="E33" s="91">
        <f t="shared" si="0"/>
        <v>315.01839873117262</v>
      </c>
      <c r="F33" s="91">
        <f t="shared" si="0"/>
        <v>316.18053941471578</v>
      </c>
      <c r="G33" s="91">
        <f t="shared" si="0"/>
        <v>404.85437926497002</v>
      </c>
      <c r="H33" s="10" t="s">
        <v>63</v>
      </c>
    </row>
    <row r="34" spans="2:8" ht="15.75" thickBot="1">
      <c r="B34" s="12" t="s">
        <v>64</v>
      </c>
      <c r="C34" s="50">
        <f>+('Estados Financieros'!C31/'Estados Financieros'!C62)*365</f>
        <v>288.27716964734577</v>
      </c>
      <c r="D34" s="50">
        <f>+('Estados Financieros'!D31/'Estados Financieros'!D62)*365</f>
        <v>240.41470144717763</v>
      </c>
      <c r="E34" s="50">
        <f>+('Estados Financieros'!E31/'Estados Financieros'!E62)*365</f>
        <v>405.0384694859502</v>
      </c>
      <c r="F34" s="50">
        <f>+('Estados Financieros'!F31/'Estados Financieros'!F62)*365</f>
        <v>447.82091696969104</v>
      </c>
      <c r="G34" s="50">
        <f>+('Estados Financieros'!G31/'Estados Financieros'!G62)*365</f>
        <v>641.27620688967954</v>
      </c>
      <c r="H34" s="12" t="s">
        <v>65</v>
      </c>
    </row>
    <row r="35" spans="2:8" ht="15.75" thickBot="1"/>
    <row r="36" spans="2:8">
      <c r="H36" s="76" t="s">
        <v>137</v>
      </c>
    </row>
    <row r="37" spans="2:8">
      <c r="H37" s="77" t="s">
        <v>134</v>
      </c>
    </row>
    <row r="38" spans="2:8">
      <c r="H38" s="78"/>
    </row>
    <row r="39" spans="2:8">
      <c r="H39" s="77" t="s">
        <v>135</v>
      </c>
    </row>
    <row r="40" spans="2:8">
      <c r="H40" s="78"/>
    </row>
    <row r="41" spans="2:8" ht="15.75" thickBot="1">
      <c r="H41" s="79" t="s">
        <v>136</v>
      </c>
    </row>
  </sheetData>
  <mergeCells count="4">
    <mergeCell ref="B4:G4"/>
    <mergeCell ref="B13:G13"/>
    <mergeCell ref="B20:G20"/>
    <mergeCell ref="B26:G26"/>
  </mergeCells>
  <hyperlinks>
    <hyperlink ref="A1" location="CONTENIDO!A8" display="1.4 RAZONES FINANCIERAS" xr:uid="{00000000-0004-0000-0400-000000000000}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4"/>
  <dimension ref="A1:G13"/>
  <sheetViews>
    <sheetView zoomScale="70" zoomScaleNormal="70" workbookViewId="0"/>
  </sheetViews>
  <sheetFormatPr baseColWidth="10" defaultRowHeight="15"/>
  <cols>
    <col min="1" max="1" width="50.28515625" style="2" customWidth="1"/>
    <col min="2" max="2" width="39" style="2" customWidth="1"/>
    <col min="3" max="3" width="19.5703125" style="2" bestFit="1" customWidth="1"/>
    <col min="4" max="4" width="22.28515625" style="2" customWidth="1"/>
    <col min="5" max="5" width="21.5703125" style="2" customWidth="1"/>
    <col min="6" max="6" width="23.42578125" style="2" customWidth="1"/>
    <col min="7" max="7" width="22" style="2" customWidth="1"/>
    <col min="8" max="16384" width="11.42578125" style="2"/>
  </cols>
  <sheetData>
    <row r="1" spans="1:7" ht="27" thickBot="1">
      <c r="A1" s="137" t="s">
        <v>191</v>
      </c>
    </row>
    <row r="2" spans="1:7" ht="26.25">
      <c r="B2" s="4" t="s">
        <v>177</v>
      </c>
    </row>
    <row r="4" spans="1:7" ht="18.75">
      <c r="B4" s="24"/>
      <c r="C4" s="71">
        <f>'Inductores Operativos y Financi'!C14</f>
        <v>2016</v>
      </c>
      <c r="D4" s="71">
        <f>'Inductores Operativos y Financi'!D14</f>
        <v>2017</v>
      </c>
      <c r="E4" s="71">
        <f>'Inductores Operativos y Financi'!E14</f>
        <v>2018</v>
      </c>
      <c r="F4" s="71">
        <f>'Inductores Operativos y Financi'!F14</f>
        <v>2019</v>
      </c>
      <c r="G4" s="71">
        <f>'Inductores Operativos y Financi'!G14</f>
        <v>2020</v>
      </c>
    </row>
    <row r="5" spans="1:7" ht="18.75">
      <c r="B5" s="25" t="s">
        <v>27</v>
      </c>
      <c r="C5" s="26">
        <f>+'Estados Financieros'!C67</f>
        <v>3268287817.1499977</v>
      </c>
      <c r="D5" s="26">
        <f>+'Estados Financieros'!D67</f>
        <v>4184291993.9275055</v>
      </c>
      <c r="E5" s="26">
        <f>+'Estados Financieros'!E67</f>
        <v>4565089090.8999996</v>
      </c>
      <c r="F5" s="26">
        <f>+'Estados Financieros'!F67</f>
        <v>4338456308.6200008</v>
      </c>
      <c r="G5" s="26">
        <f>+'Estados Financieros'!G67</f>
        <v>3575268724.5999947</v>
      </c>
    </row>
    <row r="6" spans="1:7" ht="18.75">
      <c r="B6" s="27" t="s">
        <v>71</v>
      </c>
      <c r="C6" s="26">
        <f>+'Estados Financieros'!C72</f>
        <v>659560050.19000006</v>
      </c>
      <c r="D6" s="26">
        <f>+'Estados Financieros'!D72</f>
        <v>1157834912.323205</v>
      </c>
      <c r="E6" s="26">
        <f>+'Estados Financieros'!E72</f>
        <v>1300251000</v>
      </c>
      <c r="F6" s="26">
        <f>+'Estados Financieros'!F72</f>
        <v>1962957224.6700001</v>
      </c>
      <c r="G6" s="26">
        <f>+'Estados Financieros'!G72</f>
        <v>1869093692.6900001</v>
      </c>
    </row>
    <row r="7" spans="1:7" ht="18.75">
      <c r="B7" s="25" t="s">
        <v>7</v>
      </c>
      <c r="C7" s="26">
        <f>+C5-C6</f>
        <v>2608727766.9599977</v>
      </c>
      <c r="D7" s="26">
        <f t="shared" ref="D7:G7" si="0">+D5-D6</f>
        <v>3026457081.6043005</v>
      </c>
      <c r="E7" s="26">
        <f t="shared" si="0"/>
        <v>3264838090.8999996</v>
      </c>
      <c r="F7" s="26">
        <f t="shared" si="0"/>
        <v>2375499083.9500008</v>
      </c>
      <c r="G7" s="26">
        <f t="shared" si="0"/>
        <v>1706175031.9099946</v>
      </c>
    </row>
    <row r="8" spans="1:7" ht="18.75">
      <c r="B8" s="27" t="s">
        <v>72</v>
      </c>
      <c r="C8" s="26">
        <f>+'Estados Financieros'!C79</f>
        <v>624239677.62</v>
      </c>
      <c r="D8" s="26">
        <f>+'Estados Financieros'!D79</f>
        <v>672448534.4525001</v>
      </c>
      <c r="E8" s="26">
        <f>+'Estados Financieros'!E79</f>
        <v>544579979.86999989</v>
      </c>
      <c r="F8" s="26">
        <f>+'Estados Financieros'!F79</f>
        <v>499801260</v>
      </c>
      <c r="G8" s="26">
        <f>+'Estados Financieros'!G79</f>
        <v>71592658</v>
      </c>
    </row>
    <row r="9" spans="1:7" ht="18.75">
      <c r="B9" s="27" t="s">
        <v>73</v>
      </c>
      <c r="C9" s="26">
        <f>+'Estados Financieros'!C80</f>
        <v>367253033.06</v>
      </c>
      <c r="D9" s="26">
        <f>+'Estados Financieros'!D80</f>
        <v>510204030.69000006</v>
      </c>
      <c r="E9" s="26">
        <f>+'Estados Financieros'!E80</f>
        <v>26989121.07</v>
      </c>
      <c r="F9" s="26">
        <f>+'Estados Financieros'!F80</f>
        <v>1330560</v>
      </c>
      <c r="G9" s="26">
        <f>+'Estados Financieros'!G80</f>
        <v>32157915.66</v>
      </c>
    </row>
    <row r="10" spans="1:7" ht="18.75">
      <c r="B10" s="25" t="s">
        <v>74</v>
      </c>
      <c r="C10" s="28">
        <f>+C7+C8+C9</f>
        <v>3600220477.6399975</v>
      </c>
      <c r="D10" s="28">
        <f t="shared" ref="D10:G10" si="1">+D7+D8+D9</f>
        <v>4209109646.7468009</v>
      </c>
      <c r="E10" s="28">
        <f t="shared" si="1"/>
        <v>3836407191.8399997</v>
      </c>
      <c r="F10" s="28">
        <f t="shared" si="1"/>
        <v>2876630903.9500008</v>
      </c>
      <c r="G10" s="28">
        <f t="shared" si="1"/>
        <v>1809925605.5699947</v>
      </c>
    </row>
    <row r="11" spans="1:7" ht="18.75">
      <c r="B11" s="27" t="s">
        <v>131</v>
      </c>
      <c r="C11" s="46"/>
      <c r="D11" s="29">
        <f>+'Inductores Operativos y Financi'!D65-'Inductores Operativos y Financi'!C65</f>
        <v>-918434618.31000328</v>
      </c>
      <c r="E11" s="29">
        <f>+'Inductores Operativos y Financi'!E65-'Inductores Operativos y Financi'!D65</f>
        <v>1954535644.8599968</v>
      </c>
      <c r="F11" s="29">
        <f>+'Inductores Operativos y Financi'!F65-'Inductores Operativos y Financi'!E65</f>
        <v>-7873222920.6199818</v>
      </c>
      <c r="G11" s="29">
        <f>+'Inductores Operativos y Financi'!G65-'Inductores Operativos y Financi'!F65</f>
        <v>-15415389121.990025</v>
      </c>
    </row>
    <row r="12" spans="1:7" ht="18.75">
      <c r="B12" s="27" t="s">
        <v>132</v>
      </c>
      <c r="C12" s="47"/>
      <c r="D12" s="26">
        <f>+'Estados Financieros'!D22-'Estados Financieros'!C22</f>
        <v>-603569561.35250092</v>
      </c>
      <c r="E12" s="26">
        <f>+'Estados Financieros'!E22-'Estados Financieros'!D22</f>
        <v>-402599162.58749962</v>
      </c>
      <c r="F12" s="26">
        <f>+'Estados Financieros'!F22-'Estados Financieros'!E22</f>
        <v>91979497.819999695</v>
      </c>
      <c r="G12" s="26">
        <f>+'Estados Financieros'!G22-'Estados Financieros'!F22</f>
        <v>-136077465.2300005</v>
      </c>
    </row>
    <row r="13" spans="1:7" ht="18.75">
      <c r="B13" s="59" t="s">
        <v>75</v>
      </c>
      <c r="C13" s="30">
        <f>+C10-C11-C12</f>
        <v>3600220477.6399975</v>
      </c>
      <c r="D13" s="30">
        <f>+D10-D11-D12</f>
        <v>5731113826.4093056</v>
      </c>
      <c r="E13" s="30">
        <f>+E10-E11-E12</f>
        <v>2284470709.5675025</v>
      </c>
      <c r="F13" s="30">
        <f>+F10-F11-F12</f>
        <v>10657874326.749983</v>
      </c>
      <c r="G13" s="30">
        <f>+G10-G11-G12</f>
        <v>17361392192.79002</v>
      </c>
    </row>
  </sheetData>
  <hyperlinks>
    <hyperlink ref="A1" location="CONTENIDO!A9" display="1.5 FLUJO DE CAJA LIBRE" xr:uid="{00000000-0004-0000-0500-000000000000}"/>
  </hyperlink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"/>
  <dimension ref="A1:T60"/>
  <sheetViews>
    <sheetView zoomScale="70" zoomScaleNormal="70" workbookViewId="0"/>
  </sheetViews>
  <sheetFormatPr baseColWidth="10" defaultRowHeight="15"/>
  <cols>
    <col min="1" max="1" width="46.85546875" style="2" bestFit="1" customWidth="1"/>
    <col min="2" max="16384" width="11.42578125" style="2"/>
  </cols>
  <sheetData>
    <row r="1" spans="1:1" ht="27" thickBot="1">
      <c r="A1" s="137" t="s">
        <v>191</v>
      </c>
    </row>
    <row r="56" spans="14:20">
      <c r="O56" s="80"/>
      <c r="P56" s="80"/>
      <c r="Q56" s="80"/>
      <c r="R56" s="80"/>
      <c r="S56" s="80"/>
    </row>
    <row r="57" spans="14:20" ht="15.75" thickBot="1"/>
    <row r="58" spans="14:20" ht="15.75" thickBot="1">
      <c r="N58" s="82" t="s">
        <v>3</v>
      </c>
      <c r="O58" s="81">
        <f>+'Inductores de Rentabilidad'!C63</f>
        <v>3.9434253471210858E-2</v>
      </c>
      <c r="P58" s="101">
        <f>+O58</f>
        <v>3.9434253471210858E-2</v>
      </c>
      <c r="Q58" s="101">
        <f t="shared" ref="Q58:S58" si="0">+P58</f>
        <v>3.9434253471210858E-2</v>
      </c>
      <c r="R58" s="101">
        <f t="shared" si="0"/>
        <v>3.9434253471210858E-2</v>
      </c>
      <c r="S58" s="101">
        <f t="shared" si="0"/>
        <v>3.9434253471210858E-2</v>
      </c>
      <c r="T58" s="101"/>
    </row>
    <row r="59" spans="14:20" ht="15.75" thickBot="1">
      <c r="N59" s="83" t="s">
        <v>6</v>
      </c>
      <c r="O59" s="81">
        <f>+'Inductores de Rentabilidad'!C64</f>
        <v>0.11779947445654719</v>
      </c>
      <c r="P59" s="101">
        <f t="shared" ref="P59:S60" si="1">+O59</f>
        <v>0.11779947445654719</v>
      </c>
      <c r="Q59" s="101">
        <f t="shared" si="1"/>
        <v>0.11779947445654719</v>
      </c>
      <c r="R59" s="101">
        <f t="shared" si="1"/>
        <v>0.11779947445654719</v>
      </c>
      <c r="S59" s="101">
        <f t="shared" si="1"/>
        <v>0.11779947445654719</v>
      </c>
    </row>
    <row r="60" spans="14:20" ht="15.75" thickBot="1">
      <c r="N60" s="84" t="s">
        <v>123</v>
      </c>
      <c r="O60" s="81">
        <f>+'Inductores de Rentabilidad'!C65</f>
        <v>-7.8365220985336326E-2</v>
      </c>
      <c r="P60" s="101">
        <f t="shared" si="1"/>
        <v>-7.8365220985336326E-2</v>
      </c>
      <c r="Q60" s="101">
        <f t="shared" si="1"/>
        <v>-7.8365220985336326E-2</v>
      </c>
      <c r="R60" s="101">
        <f t="shared" si="1"/>
        <v>-7.8365220985336326E-2</v>
      </c>
      <c r="S60" s="101">
        <f t="shared" si="1"/>
        <v>-7.8365220985336326E-2</v>
      </c>
    </row>
  </sheetData>
  <hyperlinks>
    <hyperlink ref="A1" location="CONTENIDO!A10" display="1.6 INFORME DE GRÁFICOS" xr:uid="{00000000-0004-0000-0600-000000000000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/>
  <dimension ref="A1:H20"/>
  <sheetViews>
    <sheetView showGridLines="0" workbookViewId="0"/>
  </sheetViews>
  <sheetFormatPr baseColWidth="10" defaultRowHeight="15"/>
  <cols>
    <col min="1" max="1" width="43.7109375" bestFit="1" customWidth="1"/>
    <col min="2" max="2" width="19.7109375" bestFit="1" customWidth="1"/>
    <col min="3" max="3" width="19.42578125" bestFit="1" customWidth="1"/>
    <col min="4" max="4" width="19.7109375" bestFit="1" customWidth="1"/>
    <col min="5" max="5" width="19.42578125" bestFit="1" customWidth="1"/>
    <col min="6" max="6" width="30.5703125" hidden="1" customWidth="1"/>
    <col min="7" max="7" width="30.28515625" hidden="1" customWidth="1"/>
    <col min="8" max="8" width="32.85546875" hidden="1" customWidth="1"/>
  </cols>
  <sheetData>
    <row r="1" spans="1:8" ht="27" thickBot="1">
      <c r="A1" s="147" t="s">
        <v>191</v>
      </c>
      <c r="B1" s="138" t="s">
        <v>192</v>
      </c>
      <c r="C1" s="138" t="s">
        <v>193</v>
      </c>
      <c r="D1" s="138" t="s">
        <v>192</v>
      </c>
      <c r="E1" s="138" t="s">
        <v>193</v>
      </c>
      <c r="F1" s="138" t="s">
        <v>194</v>
      </c>
      <c r="G1" s="138" t="s">
        <v>195</v>
      </c>
      <c r="H1" s="138" t="s">
        <v>196</v>
      </c>
    </row>
    <row r="2" spans="1:8">
      <c r="B2">
        <v>2018</v>
      </c>
      <c r="C2">
        <v>2018</v>
      </c>
      <c r="D2">
        <v>2019</v>
      </c>
      <c r="E2">
        <v>2019</v>
      </c>
    </row>
    <row r="3" spans="1:8">
      <c r="A3" t="s">
        <v>30</v>
      </c>
      <c r="B3" s="139">
        <v>0.65907907841319746</v>
      </c>
      <c r="C3" s="139">
        <v>0.48633099190626472</v>
      </c>
      <c r="D3" s="139">
        <v>0.46202145888451096</v>
      </c>
      <c r="E3" s="139">
        <v>0.46574660180556837</v>
      </c>
      <c r="F3" s="140">
        <f t="shared" ref="F3:G20" si="0">+D3/B3-1</f>
        <v>-0.29898934131413113</v>
      </c>
      <c r="G3" s="140">
        <f t="shared" si="0"/>
        <v>-4.2325885956829512E-2</v>
      </c>
      <c r="H3" s="140" t="e">
        <f>+#REF!/#REF!-1</f>
        <v>#REF!</v>
      </c>
    </row>
    <row r="4" spans="1:8">
      <c r="A4" t="s">
        <v>32</v>
      </c>
      <c r="B4" s="139">
        <v>0.13915158816412032</v>
      </c>
      <c r="C4" s="139">
        <v>0.1875968383919695</v>
      </c>
      <c r="D4" s="139">
        <v>8.988275268428593E-2</v>
      </c>
      <c r="E4" s="139">
        <v>0.16829224848012678</v>
      </c>
      <c r="F4" s="140">
        <f t="shared" si="0"/>
        <v>-0.35406592285332006</v>
      </c>
      <c r="G4" s="140">
        <f t="shared" si="0"/>
        <v>-0.10290466554402811</v>
      </c>
      <c r="H4" s="140" t="e">
        <f>+#REF!/#REF!-1</f>
        <v>#REF!</v>
      </c>
    </row>
    <row r="5" spans="1:8">
      <c r="A5" t="s">
        <v>34</v>
      </c>
      <c r="B5" s="139">
        <v>7.0022865955169905E-2</v>
      </c>
      <c r="C5" s="139">
        <v>0.19371841665176343</v>
      </c>
      <c r="D5" s="139">
        <v>2.9152689633199509E-2</v>
      </c>
      <c r="E5" s="139">
        <v>0.1810993404127216</v>
      </c>
      <c r="F5" s="140">
        <f t="shared" si="0"/>
        <v>-0.58366900246751308</v>
      </c>
      <c r="G5" s="140">
        <f t="shared" si="0"/>
        <v>-6.5141334815503993E-2</v>
      </c>
      <c r="H5" s="140" t="e">
        <f>+#REF!/#REF!-1</f>
        <v>#REF!</v>
      </c>
    </row>
    <row r="6" spans="1:8">
      <c r="A6" t="s">
        <v>36</v>
      </c>
      <c r="B6" s="139">
        <v>0.26958102338559564</v>
      </c>
      <c r="C6" s="139">
        <v>0.40409853419381581</v>
      </c>
      <c r="D6" s="139">
        <v>0.14172663436501395</v>
      </c>
      <c r="E6" s="139">
        <v>0.33179624595772372</v>
      </c>
      <c r="F6" s="140">
        <f t="shared" si="0"/>
        <v>-0.47427073098429839</v>
      </c>
      <c r="G6" s="140">
        <f t="shared" si="0"/>
        <v>-0.1789224214345061</v>
      </c>
      <c r="H6" s="140" t="e">
        <f>+#REF!/#REF!-1</f>
        <v>#REF!</v>
      </c>
    </row>
    <row r="7" spans="1:8">
      <c r="A7" t="s">
        <v>39</v>
      </c>
      <c r="B7" s="141">
        <v>8878128246.6299934</v>
      </c>
      <c r="C7" s="142">
        <v>15966366000</v>
      </c>
      <c r="D7" s="142">
        <v>7798995794.0200157</v>
      </c>
      <c r="E7" s="142">
        <v>17605226000</v>
      </c>
      <c r="F7" s="140">
        <f t="shared" si="0"/>
        <v>-0.12154954542581653</v>
      </c>
      <c r="G7" s="140">
        <f t="shared" si="0"/>
        <v>0.10264452161500004</v>
      </c>
      <c r="H7" s="140" t="e">
        <f>+#REF!/#REF!-1</f>
        <v>#REF!</v>
      </c>
    </row>
    <row r="8" spans="1:8">
      <c r="A8" t="s">
        <v>41</v>
      </c>
      <c r="B8" s="143">
        <v>1.5917255047763881</v>
      </c>
      <c r="C8" s="143">
        <v>5.281815066086903</v>
      </c>
      <c r="D8" s="144">
        <v>1.2339178631869478</v>
      </c>
      <c r="E8" s="143">
        <v>5.6570113507408006</v>
      </c>
      <c r="F8" s="140">
        <f t="shared" si="0"/>
        <v>-0.22479230276561191</v>
      </c>
      <c r="G8" s="140">
        <f t="shared" si="0"/>
        <v>7.1035483060156945E-2</v>
      </c>
      <c r="H8" s="140" t="e">
        <f>+#REF!/#REF!-1</f>
        <v>#REF!</v>
      </c>
    </row>
    <row r="9" spans="1:8">
      <c r="A9" t="s">
        <v>43</v>
      </c>
      <c r="B9" s="143">
        <v>1.4040761188677722</v>
      </c>
      <c r="C9" s="143">
        <v>4.2165184808942531</v>
      </c>
      <c r="D9" s="144">
        <v>0.97666331543892626</v>
      </c>
      <c r="E9" s="143">
        <v>4.0187751463481085</v>
      </c>
      <c r="F9" s="140">
        <f t="shared" si="0"/>
        <v>-0.30440856993814958</v>
      </c>
      <c r="G9" s="140">
        <f t="shared" si="0"/>
        <v>-4.6897300567317002E-2</v>
      </c>
      <c r="H9" s="140" t="e">
        <f>+#REF!/#REF!-1</f>
        <v>#REF!</v>
      </c>
    </row>
    <row r="10" spans="1:8">
      <c r="A10" t="s">
        <v>182</v>
      </c>
      <c r="B10" s="145">
        <v>1.2410144341899261</v>
      </c>
      <c r="C10" s="143">
        <v>5.4096475869001885</v>
      </c>
      <c r="D10" s="144">
        <v>1.1866374124825754</v>
      </c>
      <c r="E10" s="143">
        <v>6.1488464642176712</v>
      </c>
      <c r="F10" s="140">
        <f t="shared" si="0"/>
        <v>-4.381659085443701E-2</v>
      </c>
      <c r="G10" s="140">
        <f t="shared" si="0"/>
        <v>0.13664455316969271</v>
      </c>
      <c r="H10" s="140" t="e">
        <f>+#REF!/#REF!-1</f>
        <v>#REF!</v>
      </c>
    </row>
    <row r="11" spans="1:8">
      <c r="A11" t="s">
        <v>45</v>
      </c>
      <c r="B11" s="139">
        <v>0.8057924005152699</v>
      </c>
      <c r="C11" s="139">
        <v>0.184854925193568</v>
      </c>
      <c r="D11" s="139">
        <v>0.84271740422197761</v>
      </c>
      <c r="E11" s="139">
        <v>0.16263213040354096</v>
      </c>
      <c r="F11" s="140">
        <f t="shared" si="0"/>
        <v>4.5824462582540804E-2</v>
      </c>
      <c r="G11" s="140">
        <f t="shared" si="0"/>
        <v>-0.12021748821004785</v>
      </c>
      <c r="H11" s="140" t="e">
        <f>+#REF!/#REF!-1</f>
        <v>#REF!</v>
      </c>
    </row>
    <row r="12" spans="1:8">
      <c r="A12" t="s">
        <v>47</v>
      </c>
      <c r="B12" s="139">
        <v>0.42435812702583209</v>
      </c>
      <c r="C12" s="139">
        <v>0.9444551526159275</v>
      </c>
      <c r="D12" s="139">
        <v>0.62674082353718552</v>
      </c>
      <c r="E12" s="139">
        <v>0.95751093811184151</v>
      </c>
      <c r="F12" s="140">
        <f t="shared" si="0"/>
        <v>0.47691485946028256</v>
      </c>
      <c r="G12" s="140">
        <f t="shared" si="0"/>
        <v>1.3823616144983175E-2</v>
      </c>
      <c r="H12" s="140" t="e">
        <f>+#REF!/#REF!-1</f>
        <v>#REF!</v>
      </c>
    </row>
    <row r="13" spans="1:8">
      <c r="A13" t="s">
        <v>49</v>
      </c>
      <c r="B13" s="139">
        <v>0.57564187297416791</v>
      </c>
      <c r="C13" s="139">
        <v>5.5544847384072504E-2</v>
      </c>
      <c r="D13" s="139">
        <v>0.37325917646281453</v>
      </c>
      <c r="E13" s="139">
        <v>4.2489061888158472E-2</v>
      </c>
      <c r="F13" s="140">
        <f t="shared" si="0"/>
        <v>-0.35157744078918896</v>
      </c>
      <c r="G13" s="140">
        <f t="shared" si="0"/>
        <v>-0.23504944402201711</v>
      </c>
      <c r="H13" s="140" t="e">
        <f>+#REF!/#REF!-1</f>
        <v>#REF!</v>
      </c>
    </row>
    <row r="14" spans="1:8">
      <c r="A14" t="s">
        <v>52</v>
      </c>
      <c r="B14" s="146">
        <v>3.849899882106897</v>
      </c>
      <c r="C14" s="146">
        <v>2.0860098961073006</v>
      </c>
      <c r="D14" s="146">
        <v>4.8615285981576664</v>
      </c>
      <c r="E14" s="146">
        <v>1.8321228846088951</v>
      </c>
      <c r="F14" s="140">
        <f t="shared" si="0"/>
        <v>0.26276753864496483</v>
      </c>
      <c r="G14" s="140">
        <f t="shared" si="0"/>
        <v>-0.12170939935241132</v>
      </c>
      <c r="H14" s="140" t="e">
        <f>+#REF!/#REF!-1</f>
        <v>#REF!</v>
      </c>
    </row>
    <row r="15" spans="1:8">
      <c r="A15" t="s">
        <v>54</v>
      </c>
      <c r="B15" s="146">
        <v>0.74767981433508124</v>
      </c>
      <c r="C15" s="146">
        <v>1.7004006928093429</v>
      </c>
      <c r="D15" s="146">
        <v>0.76463383737117752</v>
      </c>
      <c r="E15" s="146">
        <v>1.5341608367238695</v>
      </c>
      <c r="F15" s="140">
        <f t="shared" si="0"/>
        <v>2.2675512580440094E-2</v>
      </c>
      <c r="G15" s="140">
        <f t="shared" si="0"/>
        <v>-9.776510724117482E-2</v>
      </c>
      <c r="H15" s="140" t="e">
        <f>+#REF!/#REF!-1</f>
        <v>#REF!</v>
      </c>
    </row>
    <row r="16" spans="1:8">
      <c r="A16" t="s">
        <v>56</v>
      </c>
      <c r="B16" s="146">
        <v>1.6357644997171863</v>
      </c>
      <c r="C16" s="146">
        <v>3.0489189976518745</v>
      </c>
      <c r="D16" s="146">
        <v>1.8658682759627863</v>
      </c>
      <c r="E16" s="146">
        <v>2.8202046372974543</v>
      </c>
      <c r="F16" s="140">
        <f t="shared" si="0"/>
        <v>0.14067047932962451</v>
      </c>
      <c r="G16" s="140">
        <f t="shared" si="0"/>
        <v>-7.5014902176989473E-2</v>
      </c>
      <c r="H16" s="140" t="e">
        <f>+#REF!/#REF!-1</f>
        <v>#REF!</v>
      </c>
    </row>
    <row r="17" spans="1:8">
      <c r="A17" t="s">
        <v>58</v>
      </c>
      <c r="B17" s="146">
        <v>223.13725482067025</v>
      </c>
      <c r="C17" s="146">
        <v>119.71456122025702</v>
      </c>
      <c r="D17" s="146">
        <v>195.61938251598193</v>
      </c>
      <c r="E17" s="146">
        <v>129.42323233315869</v>
      </c>
      <c r="F17" s="140">
        <f t="shared" si="0"/>
        <v>-0.12332262636646552</v>
      </c>
      <c r="G17" s="140">
        <f t="shared" si="0"/>
        <v>8.1098498076931147E-2</v>
      </c>
      <c r="H17" s="140" t="e">
        <f>+#REF!/#REF!-1</f>
        <v>#REF!</v>
      </c>
    </row>
    <row r="18" spans="1:8">
      <c r="A18" t="s">
        <v>60</v>
      </c>
      <c r="B18" s="146">
        <v>91.881143910502374</v>
      </c>
      <c r="C18" s="146">
        <v>77.721491991813764</v>
      </c>
      <c r="D18" s="146">
        <v>120.56115689873386</v>
      </c>
      <c r="E18" s="146">
        <v>113.60600643954537</v>
      </c>
      <c r="F18" s="140">
        <f t="shared" si="0"/>
        <v>0.31214253292457372</v>
      </c>
      <c r="G18" s="140">
        <f t="shared" si="0"/>
        <v>0.46170645375041497</v>
      </c>
      <c r="H18" s="140" t="e">
        <f>+#REF!/#REF!-1</f>
        <v>#REF!</v>
      </c>
    </row>
    <row r="19" spans="1:8">
      <c r="A19" t="s">
        <v>62</v>
      </c>
      <c r="B19" s="146">
        <v>315.01839873117262</v>
      </c>
      <c r="C19" s="146">
        <v>197.43605321207079</v>
      </c>
      <c r="D19" s="146">
        <v>316.18053941471578</v>
      </c>
      <c r="E19" s="146">
        <v>243.02923877270405</v>
      </c>
      <c r="F19" s="140">
        <f t="shared" si="0"/>
        <v>3.689120026715953E-3</v>
      </c>
      <c r="G19" s="140">
        <f t="shared" si="0"/>
        <v>0.23092634206813556</v>
      </c>
      <c r="H19" s="140" t="e">
        <f>+#REF!/#REF!-1</f>
        <v>#REF!</v>
      </c>
    </row>
    <row r="20" spans="1:8">
      <c r="A20" t="s">
        <v>64</v>
      </c>
      <c r="B20" s="146">
        <v>405.0384694859502</v>
      </c>
      <c r="C20" s="146">
        <v>37.855653079033146</v>
      </c>
      <c r="D20" s="146">
        <v>447.82091696969104</v>
      </c>
      <c r="E20" s="146">
        <v>50.83506125689641</v>
      </c>
      <c r="F20" s="140">
        <f t="shared" si="0"/>
        <v>0.10562563980166551</v>
      </c>
      <c r="G20" s="140">
        <f t="shared" si="0"/>
        <v>0.34286578416083602</v>
      </c>
      <c r="H20" s="140" t="e">
        <f>+#REF!/#REF!-1</f>
        <v>#REF!</v>
      </c>
    </row>
  </sheetData>
  <hyperlinks>
    <hyperlink ref="A1" location="CONTENIDO!A15" display="MENU PRINCIPAL" xr:uid="{00000000-0004-0000-0700-000000000000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1"/>
  <dimension ref="A1:H20"/>
  <sheetViews>
    <sheetView showGridLines="0" workbookViewId="0"/>
  </sheetViews>
  <sheetFormatPr baseColWidth="10" defaultRowHeight="15"/>
  <cols>
    <col min="1" max="1" width="43.7109375" bestFit="1" customWidth="1"/>
    <col min="2" max="2" width="19.7109375" bestFit="1" customWidth="1"/>
    <col min="3" max="3" width="19.42578125" bestFit="1" customWidth="1"/>
    <col min="4" max="4" width="19.7109375" bestFit="1" customWidth="1"/>
    <col min="5" max="5" width="19.42578125" bestFit="1" customWidth="1"/>
    <col min="6" max="6" width="30.5703125" hidden="1" customWidth="1"/>
    <col min="7" max="7" width="30.28515625" hidden="1" customWidth="1"/>
    <col min="8" max="8" width="32.85546875" hidden="1" customWidth="1"/>
  </cols>
  <sheetData>
    <row r="1" spans="1:8" ht="27" thickBot="1">
      <c r="A1" s="147" t="s">
        <v>191</v>
      </c>
      <c r="B1" s="138" t="s">
        <v>192</v>
      </c>
      <c r="C1" s="138" t="s">
        <v>193</v>
      </c>
      <c r="D1" s="138" t="s">
        <v>192</v>
      </c>
      <c r="E1" s="138" t="s">
        <v>193</v>
      </c>
      <c r="F1" s="138" t="s">
        <v>194</v>
      </c>
      <c r="G1" s="138" t="s">
        <v>195</v>
      </c>
      <c r="H1" s="138" t="s">
        <v>196</v>
      </c>
    </row>
    <row r="2" spans="1:8">
      <c r="B2">
        <v>2018</v>
      </c>
      <c r="C2">
        <v>2018</v>
      </c>
      <c r="D2">
        <v>2019</v>
      </c>
      <c r="E2">
        <v>2019</v>
      </c>
    </row>
    <row r="3" spans="1:8">
      <c r="A3" t="s">
        <v>30</v>
      </c>
      <c r="B3" s="139">
        <v>0.65907907841319746</v>
      </c>
      <c r="C3" s="139">
        <v>0.48633099190626472</v>
      </c>
      <c r="D3" s="139">
        <v>0.46202145888451096</v>
      </c>
      <c r="E3" s="139">
        <v>0.46574660180556837</v>
      </c>
      <c r="F3" s="140">
        <f t="shared" ref="F3:G20" si="0">+D3/B3-1</f>
        <v>-0.29898934131413113</v>
      </c>
      <c r="G3" s="140">
        <f t="shared" si="0"/>
        <v>-4.2325885956829512E-2</v>
      </c>
      <c r="H3" s="140" t="e">
        <f>+#REF!/#REF!-1</f>
        <v>#REF!</v>
      </c>
    </row>
    <row r="4" spans="1:8">
      <c r="A4" t="s">
        <v>32</v>
      </c>
      <c r="B4" s="139">
        <v>0.13915158816412032</v>
      </c>
      <c r="C4" s="139">
        <v>0.1875968383919695</v>
      </c>
      <c r="D4" s="139">
        <v>8.988275268428593E-2</v>
      </c>
      <c r="E4" s="139">
        <v>0.16829224848012678</v>
      </c>
      <c r="F4" s="140">
        <f t="shared" si="0"/>
        <v>-0.35406592285332006</v>
      </c>
      <c r="G4" s="140">
        <f t="shared" si="0"/>
        <v>-0.10290466554402811</v>
      </c>
      <c r="H4" s="140" t="e">
        <f>+#REF!/#REF!-1</f>
        <v>#REF!</v>
      </c>
    </row>
    <row r="5" spans="1:8">
      <c r="A5" t="s">
        <v>34</v>
      </c>
      <c r="B5" s="139">
        <v>7.0022865955169905E-2</v>
      </c>
      <c r="C5" s="139">
        <v>0.19371841665176343</v>
      </c>
      <c r="D5" s="139">
        <v>2.9152689633199509E-2</v>
      </c>
      <c r="E5" s="139">
        <v>0.1810993404127216</v>
      </c>
      <c r="F5" s="140">
        <f t="shared" si="0"/>
        <v>-0.58366900246751308</v>
      </c>
      <c r="G5" s="140">
        <f t="shared" si="0"/>
        <v>-6.5141334815503993E-2</v>
      </c>
      <c r="H5" s="140" t="e">
        <f>+#REF!/#REF!-1</f>
        <v>#REF!</v>
      </c>
    </row>
    <row r="6" spans="1:8">
      <c r="A6" t="s">
        <v>36</v>
      </c>
      <c r="B6" s="139">
        <v>0.26958102338559564</v>
      </c>
      <c r="C6" s="139">
        <v>0.40409853419381581</v>
      </c>
      <c r="D6" s="139">
        <v>0.14172663436501395</v>
      </c>
      <c r="E6" s="139">
        <v>0.33179624595772372</v>
      </c>
      <c r="F6" s="140">
        <f t="shared" si="0"/>
        <v>-0.47427073098429839</v>
      </c>
      <c r="G6" s="140">
        <f t="shared" si="0"/>
        <v>-0.1789224214345061</v>
      </c>
      <c r="H6" s="140" t="e">
        <f>+#REF!/#REF!-1</f>
        <v>#REF!</v>
      </c>
    </row>
    <row r="7" spans="1:8">
      <c r="A7" t="s">
        <v>39</v>
      </c>
      <c r="B7" s="141">
        <v>8878128246.6299934</v>
      </c>
      <c r="C7" s="142">
        <v>15966366000</v>
      </c>
      <c r="D7" s="142">
        <v>7798995794.0200157</v>
      </c>
      <c r="E7" s="142">
        <v>17605226000</v>
      </c>
      <c r="F7" s="140">
        <f t="shared" si="0"/>
        <v>-0.12154954542581653</v>
      </c>
      <c r="G7" s="140">
        <f t="shared" si="0"/>
        <v>0.10264452161500004</v>
      </c>
      <c r="H7" s="140" t="e">
        <f>+#REF!/#REF!-1</f>
        <v>#REF!</v>
      </c>
    </row>
    <row r="8" spans="1:8">
      <c r="A8" t="s">
        <v>41</v>
      </c>
      <c r="B8" s="143">
        <v>1.5917255047763881</v>
      </c>
      <c r="C8" s="143">
        <v>5.281815066086903</v>
      </c>
      <c r="D8" s="144">
        <v>1.2339178631869478</v>
      </c>
      <c r="E8" s="143">
        <v>5.6570113507408006</v>
      </c>
      <c r="F8" s="140">
        <f t="shared" si="0"/>
        <v>-0.22479230276561191</v>
      </c>
      <c r="G8" s="140">
        <f t="shared" si="0"/>
        <v>7.1035483060156945E-2</v>
      </c>
      <c r="H8" s="140" t="e">
        <f>+#REF!/#REF!-1</f>
        <v>#REF!</v>
      </c>
    </row>
    <row r="9" spans="1:8">
      <c r="A9" t="s">
        <v>43</v>
      </c>
      <c r="B9" s="143">
        <v>1.4040761188677722</v>
      </c>
      <c r="C9" s="143">
        <v>4.2165184808942531</v>
      </c>
      <c r="D9" s="144">
        <v>0.97666331543892626</v>
      </c>
      <c r="E9" s="143">
        <v>4.0187751463481085</v>
      </c>
      <c r="F9" s="140">
        <f t="shared" si="0"/>
        <v>-0.30440856993814958</v>
      </c>
      <c r="G9" s="140">
        <f t="shared" si="0"/>
        <v>-4.6897300567317002E-2</v>
      </c>
      <c r="H9" s="140" t="e">
        <f>+#REF!/#REF!-1</f>
        <v>#REF!</v>
      </c>
    </row>
    <row r="10" spans="1:8">
      <c r="A10" t="s">
        <v>182</v>
      </c>
      <c r="B10" s="145">
        <v>1.2410144341899261</v>
      </c>
      <c r="C10" s="143">
        <v>5.4096475869001885</v>
      </c>
      <c r="D10" s="144">
        <v>1.1866374124825754</v>
      </c>
      <c r="E10" s="143">
        <v>6.1488464642176712</v>
      </c>
      <c r="F10" s="140">
        <f t="shared" si="0"/>
        <v>-4.381659085443701E-2</v>
      </c>
      <c r="G10" s="140">
        <f t="shared" si="0"/>
        <v>0.13664455316969271</v>
      </c>
      <c r="H10" s="140" t="e">
        <f>+#REF!/#REF!-1</f>
        <v>#REF!</v>
      </c>
    </row>
    <row r="11" spans="1:8">
      <c r="A11" t="s">
        <v>45</v>
      </c>
      <c r="B11" s="139">
        <v>0.8057924005152699</v>
      </c>
      <c r="C11" s="139">
        <v>0.184854925193568</v>
      </c>
      <c r="D11" s="139">
        <v>0.84271740422197761</v>
      </c>
      <c r="E11" s="139">
        <v>0.16263213040354096</v>
      </c>
      <c r="F11" s="140">
        <f t="shared" si="0"/>
        <v>4.5824462582540804E-2</v>
      </c>
      <c r="G11" s="140">
        <f t="shared" si="0"/>
        <v>-0.12021748821004785</v>
      </c>
      <c r="H11" s="140" t="e">
        <f>+#REF!/#REF!-1</f>
        <v>#REF!</v>
      </c>
    </row>
    <row r="12" spans="1:8">
      <c r="A12" t="s">
        <v>47</v>
      </c>
      <c r="B12" s="139">
        <v>0.42435812702583209</v>
      </c>
      <c r="C12" s="139">
        <v>0.9444551526159275</v>
      </c>
      <c r="D12" s="139">
        <v>0.62674082353718552</v>
      </c>
      <c r="E12" s="139">
        <v>0.95751093811184151</v>
      </c>
      <c r="F12" s="140">
        <f t="shared" si="0"/>
        <v>0.47691485946028256</v>
      </c>
      <c r="G12" s="140">
        <f t="shared" si="0"/>
        <v>1.3823616144983175E-2</v>
      </c>
      <c r="H12" s="140" t="e">
        <f>+#REF!/#REF!-1</f>
        <v>#REF!</v>
      </c>
    </row>
    <row r="13" spans="1:8">
      <c r="A13" t="s">
        <v>49</v>
      </c>
      <c r="B13" s="139">
        <v>0.57564187297416791</v>
      </c>
      <c r="C13" s="139">
        <v>5.5544847384072504E-2</v>
      </c>
      <c r="D13" s="139">
        <v>0.37325917646281453</v>
      </c>
      <c r="E13" s="139">
        <v>4.2489061888158472E-2</v>
      </c>
      <c r="F13" s="140">
        <f t="shared" si="0"/>
        <v>-0.35157744078918896</v>
      </c>
      <c r="G13" s="140">
        <f t="shared" si="0"/>
        <v>-0.23504944402201711</v>
      </c>
      <c r="H13" s="140" t="e">
        <f>+#REF!/#REF!-1</f>
        <v>#REF!</v>
      </c>
    </row>
    <row r="14" spans="1:8">
      <c r="A14" t="s">
        <v>52</v>
      </c>
      <c r="B14" s="146">
        <v>3.849899882106897</v>
      </c>
      <c r="C14" s="146">
        <v>2.0860098961073006</v>
      </c>
      <c r="D14" s="146">
        <v>4.8615285981576664</v>
      </c>
      <c r="E14" s="146">
        <v>1.8321228846088951</v>
      </c>
      <c r="F14" s="140">
        <f t="shared" si="0"/>
        <v>0.26276753864496483</v>
      </c>
      <c r="G14" s="140">
        <f t="shared" si="0"/>
        <v>-0.12170939935241132</v>
      </c>
      <c r="H14" s="140" t="e">
        <f>+#REF!/#REF!-1</f>
        <v>#REF!</v>
      </c>
    </row>
    <row r="15" spans="1:8">
      <c r="A15" t="s">
        <v>54</v>
      </c>
      <c r="B15" s="146">
        <v>0.74767981433508124</v>
      </c>
      <c r="C15" s="146">
        <v>1.7004006928093429</v>
      </c>
      <c r="D15" s="146">
        <v>0.76463383737117752</v>
      </c>
      <c r="E15" s="146">
        <v>1.5341608367238695</v>
      </c>
      <c r="F15" s="140">
        <f t="shared" si="0"/>
        <v>2.2675512580440094E-2</v>
      </c>
      <c r="G15" s="140">
        <f t="shared" si="0"/>
        <v>-9.776510724117482E-2</v>
      </c>
      <c r="H15" s="140" t="e">
        <f>+#REF!/#REF!-1</f>
        <v>#REF!</v>
      </c>
    </row>
    <row r="16" spans="1:8">
      <c r="A16" t="s">
        <v>56</v>
      </c>
      <c r="B16" s="146">
        <v>1.6357644997171863</v>
      </c>
      <c r="C16" s="146">
        <v>3.0489189976518745</v>
      </c>
      <c r="D16" s="146">
        <v>1.8658682759627863</v>
      </c>
      <c r="E16" s="146">
        <v>2.8202046372974543</v>
      </c>
      <c r="F16" s="140">
        <f t="shared" si="0"/>
        <v>0.14067047932962451</v>
      </c>
      <c r="G16" s="140">
        <f t="shared" si="0"/>
        <v>-7.5014902176989473E-2</v>
      </c>
      <c r="H16" s="140" t="e">
        <f>+#REF!/#REF!-1</f>
        <v>#REF!</v>
      </c>
    </row>
    <row r="17" spans="1:8">
      <c r="A17" t="s">
        <v>58</v>
      </c>
      <c r="B17" s="146">
        <v>223.13725482067025</v>
      </c>
      <c r="C17" s="146">
        <v>119.71456122025702</v>
      </c>
      <c r="D17" s="146">
        <v>195.61938251598193</v>
      </c>
      <c r="E17" s="146">
        <v>129.42323233315869</v>
      </c>
      <c r="F17" s="140">
        <f t="shared" si="0"/>
        <v>-0.12332262636646552</v>
      </c>
      <c r="G17" s="140">
        <f t="shared" si="0"/>
        <v>8.1098498076931147E-2</v>
      </c>
      <c r="H17" s="140" t="e">
        <f>+#REF!/#REF!-1</f>
        <v>#REF!</v>
      </c>
    </row>
    <row r="18" spans="1:8">
      <c r="A18" t="s">
        <v>60</v>
      </c>
      <c r="B18" s="146">
        <v>91.881143910502374</v>
      </c>
      <c r="C18" s="146">
        <v>77.721491991813764</v>
      </c>
      <c r="D18" s="146">
        <v>120.56115689873386</v>
      </c>
      <c r="E18" s="146">
        <v>113.60600643954537</v>
      </c>
      <c r="F18" s="140">
        <f t="shared" si="0"/>
        <v>0.31214253292457372</v>
      </c>
      <c r="G18" s="140">
        <f t="shared" si="0"/>
        <v>0.46170645375041497</v>
      </c>
      <c r="H18" s="140" t="e">
        <f>+#REF!/#REF!-1</f>
        <v>#REF!</v>
      </c>
    </row>
    <row r="19" spans="1:8">
      <c r="A19" t="s">
        <v>62</v>
      </c>
      <c r="B19" s="146">
        <v>315.01839873117262</v>
      </c>
      <c r="C19" s="146">
        <v>197.43605321207079</v>
      </c>
      <c r="D19" s="146">
        <v>316.18053941471578</v>
      </c>
      <c r="E19" s="146">
        <v>243.02923877270405</v>
      </c>
      <c r="F19" s="140">
        <f t="shared" si="0"/>
        <v>3.689120026715953E-3</v>
      </c>
      <c r="G19" s="140">
        <f t="shared" si="0"/>
        <v>0.23092634206813556</v>
      </c>
      <c r="H19" s="140" t="e">
        <f>+#REF!/#REF!-1</f>
        <v>#REF!</v>
      </c>
    </row>
    <row r="20" spans="1:8">
      <c r="A20" t="s">
        <v>64</v>
      </c>
      <c r="B20" s="146">
        <v>405.0384694859502</v>
      </c>
      <c r="C20" s="146">
        <v>37.855653079033146</v>
      </c>
      <c r="D20" s="146">
        <v>447.82091696969104</v>
      </c>
      <c r="E20" s="146">
        <v>50.83506125689641</v>
      </c>
      <c r="F20" s="140">
        <f t="shared" si="0"/>
        <v>0.10562563980166551</v>
      </c>
      <c r="G20" s="140">
        <f t="shared" si="0"/>
        <v>0.34286578416083602</v>
      </c>
      <c r="H20" s="140" t="e">
        <f>+#REF!/#REF!-1</f>
        <v>#REF!</v>
      </c>
    </row>
  </sheetData>
  <hyperlinks>
    <hyperlink ref="A1" location="CONTENIDO!A16" display="MENU PRINCIPAL" xr:uid="{00000000-0004-0000-0800-000000000000}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2"/>
  <dimension ref="A1:H20"/>
  <sheetViews>
    <sheetView showGridLines="0" workbookViewId="0"/>
  </sheetViews>
  <sheetFormatPr baseColWidth="10" defaultRowHeight="15"/>
  <cols>
    <col min="1" max="1" width="43.7109375" bestFit="1" customWidth="1"/>
    <col min="2" max="2" width="19.7109375" bestFit="1" customWidth="1"/>
    <col min="3" max="3" width="19.42578125" bestFit="1" customWidth="1"/>
    <col min="4" max="4" width="19.7109375" bestFit="1" customWidth="1"/>
    <col min="5" max="5" width="19.42578125" bestFit="1" customWidth="1"/>
    <col min="6" max="6" width="30.5703125" hidden="1" customWidth="1"/>
    <col min="7" max="7" width="30.28515625" hidden="1" customWidth="1"/>
    <col min="8" max="8" width="32.85546875" hidden="1" customWidth="1"/>
  </cols>
  <sheetData>
    <row r="1" spans="1:8" ht="27" thickBot="1">
      <c r="A1" s="147" t="s">
        <v>191</v>
      </c>
      <c r="B1" s="138" t="s">
        <v>192</v>
      </c>
      <c r="C1" s="138" t="s">
        <v>193</v>
      </c>
      <c r="D1" s="138" t="s">
        <v>192</v>
      </c>
      <c r="E1" s="138" t="s">
        <v>193</v>
      </c>
      <c r="F1" s="138" t="s">
        <v>194</v>
      </c>
      <c r="G1" s="138" t="s">
        <v>195</v>
      </c>
      <c r="H1" s="138" t="s">
        <v>196</v>
      </c>
    </row>
    <row r="2" spans="1:8">
      <c r="B2">
        <v>2018</v>
      </c>
      <c r="C2">
        <v>2018</v>
      </c>
      <c r="D2">
        <v>2019</v>
      </c>
      <c r="E2">
        <v>2019</v>
      </c>
    </row>
    <row r="3" spans="1:8">
      <c r="A3" t="s">
        <v>30</v>
      </c>
      <c r="B3" s="139">
        <v>0.65907907841319746</v>
      </c>
      <c r="C3" s="139">
        <v>0.48633099190626472</v>
      </c>
      <c r="D3" s="139">
        <v>0.46202145888451096</v>
      </c>
      <c r="E3" s="139">
        <v>0.46574660180556837</v>
      </c>
      <c r="F3" s="140">
        <f t="shared" ref="F3:G20" si="0">+D3/B3-1</f>
        <v>-0.29898934131413113</v>
      </c>
      <c r="G3" s="140">
        <f t="shared" si="0"/>
        <v>-4.2325885956829512E-2</v>
      </c>
      <c r="H3" s="140" t="e">
        <f>+#REF!/#REF!-1</f>
        <v>#REF!</v>
      </c>
    </row>
    <row r="4" spans="1:8">
      <c r="A4" t="s">
        <v>32</v>
      </c>
      <c r="B4" s="139">
        <v>0.13915158816412032</v>
      </c>
      <c r="C4" s="139">
        <v>0.1875968383919695</v>
      </c>
      <c r="D4" s="139">
        <v>8.988275268428593E-2</v>
      </c>
      <c r="E4" s="139">
        <v>0.16829224848012678</v>
      </c>
      <c r="F4" s="140">
        <f t="shared" si="0"/>
        <v>-0.35406592285332006</v>
      </c>
      <c r="G4" s="140">
        <f t="shared" si="0"/>
        <v>-0.10290466554402811</v>
      </c>
      <c r="H4" s="140" t="e">
        <f>+#REF!/#REF!-1</f>
        <v>#REF!</v>
      </c>
    </row>
    <row r="5" spans="1:8">
      <c r="A5" t="s">
        <v>34</v>
      </c>
      <c r="B5" s="139">
        <v>7.0022865955169905E-2</v>
      </c>
      <c r="C5" s="139">
        <v>0.19371841665176343</v>
      </c>
      <c r="D5" s="139">
        <v>2.9152689633199509E-2</v>
      </c>
      <c r="E5" s="139">
        <v>0.1810993404127216</v>
      </c>
      <c r="F5" s="140">
        <f t="shared" si="0"/>
        <v>-0.58366900246751308</v>
      </c>
      <c r="G5" s="140">
        <f t="shared" si="0"/>
        <v>-6.5141334815503993E-2</v>
      </c>
      <c r="H5" s="140" t="e">
        <f>+#REF!/#REF!-1</f>
        <v>#REF!</v>
      </c>
    </row>
    <row r="6" spans="1:8">
      <c r="A6" t="s">
        <v>36</v>
      </c>
      <c r="B6" s="139">
        <v>0.26958102338559564</v>
      </c>
      <c r="C6" s="139">
        <v>0.40409853419381581</v>
      </c>
      <c r="D6" s="139">
        <v>0.14172663436501395</v>
      </c>
      <c r="E6" s="139">
        <v>0.33179624595772372</v>
      </c>
      <c r="F6" s="140">
        <f t="shared" si="0"/>
        <v>-0.47427073098429839</v>
      </c>
      <c r="G6" s="140">
        <f t="shared" si="0"/>
        <v>-0.1789224214345061</v>
      </c>
      <c r="H6" s="140" t="e">
        <f>+#REF!/#REF!-1</f>
        <v>#REF!</v>
      </c>
    </row>
    <row r="7" spans="1:8">
      <c r="A7" t="s">
        <v>39</v>
      </c>
      <c r="B7" s="141">
        <v>8878128246.6299934</v>
      </c>
      <c r="C7" s="142">
        <v>15966366000</v>
      </c>
      <c r="D7" s="142">
        <v>7798995794.0200157</v>
      </c>
      <c r="E7" s="142">
        <v>17605226000</v>
      </c>
      <c r="F7" s="140">
        <f t="shared" si="0"/>
        <v>-0.12154954542581653</v>
      </c>
      <c r="G7" s="140">
        <f t="shared" si="0"/>
        <v>0.10264452161500004</v>
      </c>
      <c r="H7" s="140" t="e">
        <f>+#REF!/#REF!-1</f>
        <v>#REF!</v>
      </c>
    </row>
    <row r="8" spans="1:8">
      <c r="A8" t="s">
        <v>41</v>
      </c>
      <c r="B8" s="143">
        <v>1.5917255047763881</v>
      </c>
      <c r="C8" s="143">
        <v>5.281815066086903</v>
      </c>
      <c r="D8" s="144">
        <v>1.2339178631869478</v>
      </c>
      <c r="E8" s="143">
        <v>5.6570113507408006</v>
      </c>
      <c r="F8" s="140">
        <f t="shared" si="0"/>
        <v>-0.22479230276561191</v>
      </c>
      <c r="G8" s="140">
        <f t="shared" si="0"/>
        <v>7.1035483060156945E-2</v>
      </c>
      <c r="H8" s="140" t="e">
        <f>+#REF!/#REF!-1</f>
        <v>#REF!</v>
      </c>
    </row>
    <row r="9" spans="1:8">
      <c r="A9" t="s">
        <v>43</v>
      </c>
      <c r="B9" s="143">
        <v>1.4040761188677722</v>
      </c>
      <c r="C9" s="143">
        <v>4.2165184808942531</v>
      </c>
      <c r="D9" s="144">
        <v>0.97666331543892626</v>
      </c>
      <c r="E9" s="143">
        <v>4.0187751463481085</v>
      </c>
      <c r="F9" s="140">
        <f t="shared" si="0"/>
        <v>-0.30440856993814958</v>
      </c>
      <c r="G9" s="140">
        <f t="shared" si="0"/>
        <v>-4.6897300567317002E-2</v>
      </c>
      <c r="H9" s="140" t="e">
        <f>+#REF!/#REF!-1</f>
        <v>#REF!</v>
      </c>
    </row>
    <row r="10" spans="1:8">
      <c r="A10" t="s">
        <v>182</v>
      </c>
      <c r="B10" s="145">
        <v>1.2410144341899261</v>
      </c>
      <c r="C10" s="143">
        <v>5.4096475869001885</v>
      </c>
      <c r="D10" s="144">
        <v>1.1866374124825754</v>
      </c>
      <c r="E10" s="143">
        <v>6.1488464642176712</v>
      </c>
      <c r="F10" s="140">
        <f t="shared" si="0"/>
        <v>-4.381659085443701E-2</v>
      </c>
      <c r="G10" s="140">
        <f t="shared" si="0"/>
        <v>0.13664455316969271</v>
      </c>
      <c r="H10" s="140" t="e">
        <f>+#REF!/#REF!-1</f>
        <v>#REF!</v>
      </c>
    </row>
    <row r="11" spans="1:8">
      <c r="A11" t="s">
        <v>45</v>
      </c>
      <c r="B11" s="139">
        <v>0.8057924005152699</v>
      </c>
      <c r="C11" s="139">
        <v>0.184854925193568</v>
      </c>
      <c r="D11" s="139">
        <v>0.84271740422197761</v>
      </c>
      <c r="E11" s="139">
        <v>0.16263213040354096</v>
      </c>
      <c r="F11" s="140">
        <f t="shared" si="0"/>
        <v>4.5824462582540804E-2</v>
      </c>
      <c r="G11" s="140">
        <f t="shared" si="0"/>
        <v>-0.12021748821004785</v>
      </c>
      <c r="H11" s="140" t="e">
        <f>+#REF!/#REF!-1</f>
        <v>#REF!</v>
      </c>
    </row>
    <row r="12" spans="1:8">
      <c r="A12" t="s">
        <v>47</v>
      </c>
      <c r="B12" s="139">
        <v>0.42435812702583209</v>
      </c>
      <c r="C12" s="139">
        <v>0.9444551526159275</v>
      </c>
      <c r="D12" s="139">
        <v>0.62674082353718552</v>
      </c>
      <c r="E12" s="139">
        <v>0.95751093811184151</v>
      </c>
      <c r="F12" s="140">
        <f t="shared" si="0"/>
        <v>0.47691485946028256</v>
      </c>
      <c r="G12" s="140">
        <f t="shared" si="0"/>
        <v>1.3823616144983175E-2</v>
      </c>
      <c r="H12" s="140" t="e">
        <f>+#REF!/#REF!-1</f>
        <v>#REF!</v>
      </c>
    </row>
    <row r="13" spans="1:8">
      <c r="A13" t="s">
        <v>49</v>
      </c>
      <c r="B13" s="139">
        <v>0.57564187297416791</v>
      </c>
      <c r="C13" s="139">
        <v>5.5544847384072504E-2</v>
      </c>
      <c r="D13" s="139">
        <v>0.37325917646281453</v>
      </c>
      <c r="E13" s="139">
        <v>4.2489061888158472E-2</v>
      </c>
      <c r="F13" s="140">
        <f t="shared" si="0"/>
        <v>-0.35157744078918896</v>
      </c>
      <c r="G13" s="140">
        <f t="shared" si="0"/>
        <v>-0.23504944402201711</v>
      </c>
      <c r="H13" s="140" t="e">
        <f>+#REF!/#REF!-1</f>
        <v>#REF!</v>
      </c>
    </row>
    <row r="14" spans="1:8">
      <c r="A14" t="s">
        <v>52</v>
      </c>
      <c r="B14" s="146">
        <v>3.849899882106897</v>
      </c>
      <c r="C14" s="146">
        <v>2.0860098961073006</v>
      </c>
      <c r="D14" s="146">
        <v>4.8615285981576664</v>
      </c>
      <c r="E14" s="146">
        <v>1.8321228846088951</v>
      </c>
      <c r="F14" s="140">
        <f t="shared" si="0"/>
        <v>0.26276753864496483</v>
      </c>
      <c r="G14" s="140">
        <f t="shared" si="0"/>
        <v>-0.12170939935241132</v>
      </c>
      <c r="H14" s="140" t="e">
        <f>+#REF!/#REF!-1</f>
        <v>#REF!</v>
      </c>
    </row>
    <row r="15" spans="1:8">
      <c r="A15" t="s">
        <v>54</v>
      </c>
      <c r="B15" s="146">
        <v>0.74767981433508124</v>
      </c>
      <c r="C15" s="146">
        <v>1.7004006928093429</v>
      </c>
      <c r="D15" s="146">
        <v>0.76463383737117752</v>
      </c>
      <c r="E15" s="146">
        <v>1.5341608367238695</v>
      </c>
      <c r="F15" s="140">
        <f t="shared" si="0"/>
        <v>2.2675512580440094E-2</v>
      </c>
      <c r="G15" s="140">
        <f t="shared" si="0"/>
        <v>-9.776510724117482E-2</v>
      </c>
      <c r="H15" s="140" t="e">
        <f>+#REF!/#REF!-1</f>
        <v>#REF!</v>
      </c>
    </row>
    <row r="16" spans="1:8">
      <c r="A16" t="s">
        <v>56</v>
      </c>
      <c r="B16" s="146">
        <v>1.6357644997171863</v>
      </c>
      <c r="C16" s="146">
        <v>3.0489189976518745</v>
      </c>
      <c r="D16" s="146">
        <v>1.8658682759627863</v>
      </c>
      <c r="E16" s="146">
        <v>2.8202046372974543</v>
      </c>
      <c r="F16" s="140">
        <f t="shared" si="0"/>
        <v>0.14067047932962451</v>
      </c>
      <c r="G16" s="140">
        <f t="shared" si="0"/>
        <v>-7.5014902176989473E-2</v>
      </c>
      <c r="H16" s="140" t="e">
        <f>+#REF!/#REF!-1</f>
        <v>#REF!</v>
      </c>
    </row>
    <row r="17" spans="1:8">
      <c r="A17" t="s">
        <v>58</v>
      </c>
      <c r="B17" s="146">
        <v>223.13725482067025</v>
      </c>
      <c r="C17" s="146">
        <v>119.71456122025702</v>
      </c>
      <c r="D17" s="146">
        <v>195.61938251598193</v>
      </c>
      <c r="E17" s="146">
        <v>129.42323233315869</v>
      </c>
      <c r="F17" s="140">
        <f t="shared" si="0"/>
        <v>-0.12332262636646552</v>
      </c>
      <c r="G17" s="140">
        <f t="shared" si="0"/>
        <v>8.1098498076931147E-2</v>
      </c>
      <c r="H17" s="140" t="e">
        <f>+#REF!/#REF!-1</f>
        <v>#REF!</v>
      </c>
    </row>
    <row r="18" spans="1:8">
      <c r="A18" t="s">
        <v>60</v>
      </c>
      <c r="B18" s="146">
        <v>91.881143910502374</v>
      </c>
      <c r="C18" s="146">
        <v>77.721491991813764</v>
      </c>
      <c r="D18" s="146">
        <v>120.56115689873386</v>
      </c>
      <c r="E18" s="146">
        <v>113.60600643954537</v>
      </c>
      <c r="F18" s="140">
        <f t="shared" si="0"/>
        <v>0.31214253292457372</v>
      </c>
      <c r="G18" s="140">
        <f t="shared" si="0"/>
        <v>0.46170645375041497</v>
      </c>
      <c r="H18" s="140" t="e">
        <f>+#REF!/#REF!-1</f>
        <v>#REF!</v>
      </c>
    </row>
    <row r="19" spans="1:8">
      <c r="A19" t="s">
        <v>62</v>
      </c>
      <c r="B19" s="146">
        <v>315.01839873117262</v>
      </c>
      <c r="C19" s="146">
        <v>197.43605321207079</v>
      </c>
      <c r="D19" s="146">
        <v>316.18053941471578</v>
      </c>
      <c r="E19" s="146">
        <v>243.02923877270405</v>
      </c>
      <c r="F19" s="140">
        <f t="shared" si="0"/>
        <v>3.689120026715953E-3</v>
      </c>
      <c r="G19" s="140">
        <f t="shared" si="0"/>
        <v>0.23092634206813556</v>
      </c>
      <c r="H19" s="140" t="e">
        <f>+#REF!/#REF!-1</f>
        <v>#REF!</v>
      </c>
    </row>
    <row r="20" spans="1:8">
      <c r="A20" t="s">
        <v>64</v>
      </c>
      <c r="B20" s="146">
        <v>405.0384694859502</v>
      </c>
      <c r="C20" s="146">
        <v>37.855653079033146</v>
      </c>
      <c r="D20" s="146">
        <v>447.82091696969104</v>
      </c>
      <c r="E20" s="146">
        <v>50.83506125689641</v>
      </c>
      <c r="F20" s="140">
        <f t="shared" si="0"/>
        <v>0.10562563980166551</v>
      </c>
      <c r="G20" s="140">
        <f t="shared" si="0"/>
        <v>0.34286578416083602</v>
      </c>
      <c r="H20" s="140" t="e">
        <f>+#REF!/#REF!-1</f>
        <v>#REF!</v>
      </c>
    </row>
  </sheetData>
  <hyperlinks>
    <hyperlink ref="A1" location="CONTENIDO!A17" display="MENU PRINCIPAL" xr:uid="{00000000-0004-0000-0900-000000000000}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3"/>
  <dimension ref="A1:H20"/>
  <sheetViews>
    <sheetView showGridLines="0" workbookViewId="0"/>
  </sheetViews>
  <sheetFormatPr baseColWidth="10" defaultRowHeight="15"/>
  <cols>
    <col min="1" max="1" width="43.7109375" bestFit="1" customWidth="1"/>
    <col min="2" max="2" width="19.7109375" bestFit="1" customWidth="1"/>
    <col min="3" max="3" width="19.42578125" bestFit="1" customWidth="1"/>
    <col min="4" max="4" width="19.7109375" bestFit="1" customWidth="1"/>
    <col min="5" max="5" width="19.42578125" bestFit="1" customWidth="1"/>
    <col min="6" max="6" width="30.5703125" hidden="1" customWidth="1"/>
    <col min="7" max="7" width="30.28515625" hidden="1" customWidth="1"/>
    <col min="8" max="8" width="32.85546875" hidden="1" customWidth="1"/>
  </cols>
  <sheetData>
    <row r="1" spans="1:8" ht="27" thickBot="1">
      <c r="A1" s="147" t="s">
        <v>191</v>
      </c>
      <c r="B1" s="138" t="s">
        <v>192</v>
      </c>
      <c r="C1" s="138" t="s">
        <v>193</v>
      </c>
      <c r="D1" s="138" t="s">
        <v>192</v>
      </c>
      <c r="E1" s="138" t="s">
        <v>193</v>
      </c>
      <c r="F1" s="138" t="s">
        <v>194</v>
      </c>
      <c r="G1" s="138" t="s">
        <v>195</v>
      </c>
      <c r="H1" s="138" t="s">
        <v>196</v>
      </c>
    </row>
    <row r="2" spans="1:8">
      <c r="B2">
        <v>2018</v>
      </c>
      <c r="C2">
        <v>2018</v>
      </c>
      <c r="D2">
        <v>2019</v>
      </c>
      <c r="E2">
        <v>2019</v>
      </c>
    </row>
    <row r="3" spans="1:8">
      <c r="A3" t="s">
        <v>30</v>
      </c>
      <c r="B3" s="139">
        <v>0.65907907841319746</v>
      </c>
      <c r="C3" s="139">
        <v>0.48633099190626472</v>
      </c>
      <c r="D3" s="139">
        <v>0.46202145888451096</v>
      </c>
      <c r="E3" s="139">
        <v>0.46574660180556837</v>
      </c>
      <c r="F3" s="140">
        <f t="shared" ref="F3:G20" si="0">+D3/B3-1</f>
        <v>-0.29898934131413113</v>
      </c>
      <c r="G3" s="140">
        <f t="shared" si="0"/>
        <v>-4.2325885956829512E-2</v>
      </c>
      <c r="H3" s="140" t="e">
        <f>+#REF!/#REF!-1</f>
        <v>#REF!</v>
      </c>
    </row>
    <row r="4" spans="1:8">
      <c r="A4" t="s">
        <v>32</v>
      </c>
      <c r="B4" s="139">
        <v>0.13915158816412032</v>
      </c>
      <c r="C4" s="139">
        <v>0.1875968383919695</v>
      </c>
      <c r="D4" s="139">
        <v>8.988275268428593E-2</v>
      </c>
      <c r="E4" s="139">
        <v>0.16829224848012678</v>
      </c>
      <c r="F4" s="140">
        <f t="shared" si="0"/>
        <v>-0.35406592285332006</v>
      </c>
      <c r="G4" s="140">
        <f t="shared" si="0"/>
        <v>-0.10290466554402811</v>
      </c>
      <c r="H4" s="140" t="e">
        <f>+#REF!/#REF!-1</f>
        <v>#REF!</v>
      </c>
    </row>
    <row r="5" spans="1:8">
      <c r="A5" t="s">
        <v>34</v>
      </c>
      <c r="B5" s="139">
        <v>7.0022865955169905E-2</v>
      </c>
      <c r="C5" s="139">
        <v>0.19371841665176343</v>
      </c>
      <c r="D5" s="139">
        <v>2.9152689633199509E-2</v>
      </c>
      <c r="E5" s="139">
        <v>0.1810993404127216</v>
      </c>
      <c r="F5" s="140">
        <f t="shared" si="0"/>
        <v>-0.58366900246751308</v>
      </c>
      <c r="G5" s="140">
        <f t="shared" si="0"/>
        <v>-6.5141334815503993E-2</v>
      </c>
      <c r="H5" s="140" t="e">
        <f>+#REF!/#REF!-1</f>
        <v>#REF!</v>
      </c>
    </row>
    <row r="6" spans="1:8">
      <c r="A6" t="s">
        <v>36</v>
      </c>
      <c r="B6" s="139">
        <v>0.26958102338559564</v>
      </c>
      <c r="C6" s="139">
        <v>0.40409853419381581</v>
      </c>
      <c r="D6" s="139">
        <v>0.14172663436501395</v>
      </c>
      <c r="E6" s="139">
        <v>0.33179624595772372</v>
      </c>
      <c r="F6" s="140">
        <f t="shared" si="0"/>
        <v>-0.47427073098429839</v>
      </c>
      <c r="G6" s="140">
        <f t="shared" si="0"/>
        <v>-0.1789224214345061</v>
      </c>
      <c r="H6" s="140" t="e">
        <f>+#REF!/#REF!-1</f>
        <v>#REF!</v>
      </c>
    </row>
    <row r="7" spans="1:8">
      <c r="A7" t="s">
        <v>39</v>
      </c>
      <c r="B7" s="141">
        <v>8878128246.6299934</v>
      </c>
      <c r="C7" s="142">
        <v>15966366000</v>
      </c>
      <c r="D7" s="142">
        <v>7798995794.0200157</v>
      </c>
      <c r="E7" s="142">
        <v>17605226000</v>
      </c>
      <c r="F7" s="140">
        <f t="shared" si="0"/>
        <v>-0.12154954542581653</v>
      </c>
      <c r="G7" s="140">
        <f t="shared" si="0"/>
        <v>0.10264452161500004</v>
      </c>
      <c r="H7" s="140" t="e">
        <f>+#REF!/#REF!-1</f>
        <v>#REF!</v>
      </c>
    </row>
    <row r="8" spans="1:8">
      <c r="A8" t="s">
        <v>41</v>
      </c>
      <c r="B8" s="143">
        <v>1.5917255047763881</v>
      </c>
      <c r="C8" s="143">
        <v>5.281815066086903</v>
      </c>
      <c r="D8" s="144">
        <v>1.2339178631869478</v>
      </c>
      <c r="E8" s="143">
        <v>5.6570113507408006</v>
      </c>
      <c r="F8" s="140">
        <f t="shared" si="0"/>
        <v>-0.22479230276561191</v>
      </c>
      <c r="G8" s="140">
        <f t="shared" si="0"/>
        <v>7.1035483060156945E-2</v>
      </c>
      <c r="H8" s="140" t="e">
        <f>+#REF!/#REF!-1</f>
        <v>#REF!</v>
      </c>
    </row>
    <row r="9" spans="1:8">
      <c r="A9" t="s">
        <v>43</v>
      </c>
      <c r="B9" s="143">
        <v>1.4040761188677722</v>
      </c>
      <c r="C9" s="143">
        <v>4.2165184808942531</v>
      </c>
      <c r="D9" s="144">
        <v>0.97666331543892626</v>
      </c>
      <c r="E9" s="143">
        <v>4.0187751463481085</v>
      </c>
      <c r="F9" s="140">
        <f t="shared" si="0"/>
        <v>-0.30440856993814958</v>
      </c>
      <c r="G9" s="140">
        <f t="shared" si="0"/>
        <v>-4.6897300567317002E-2</v>
      </c>
      <c r="H9" s="140" t="e">
        <f>+#REF!/#REF!-1</f>
        <v>#REF!</v>
      </c>
    </row>
    <row r="10" spans="1:8">
      <c r="A10" t="s">
        <v>182</v>
      </c>
      <c r="B10" s="145">
        <v>1.2410144341899261</v>
      </c>
      <c r="C10" s="143">
        <v>5.4096475869001885</v>
      </c>
      <c r="D10" s="144">
        <v>1.1866374124825754</v>
      </c>
      <c r="E10" s="143">
        <v>6.1488464642176712</v>
      </c>
      <c r="F10" s="140">
        <f t="shared" si="0"/>
        <v>-4.381659085443701E-2</v>
      </c>
      <c r="G10" s="140">
        <f t="shared" si="0"/>
        <v>0.13664455316969271</v>
      </c>
      <c r="H10" s="140" t="e">
        <f>+#REF!/#REF!-1</f>
        <v>#REF!</v>
      </c>
    </row>
    <row r="11" spans="1:8">
      <c r="A11" t="s">
        <v>45</v>
      </c>
      <c r="B11" s="139">
        <v>0.8057924005152699</v>
      </c>
      <c r="C11" s="139">
        <v>0.184854925193568</v>
      </c>
      <c r="D11" s="139">
        <v>0.84271740422197761</v>
      </c>
      <c r="E11" s="139">
        <v>0.16263213040354096</v>
      </c>
      <c r="F11" s="140">
        <f t="shared" si="0"/>
        <v>4.5824462582540804E-2</v>
      </c>
      <c r="G11" s="140">
        <f t="shared" si="0"/>
        <v>-0.12021748821004785</v>
      </c>
      <c r="H11" s="140" t="e">
        <f>+#REF!/#REF!-1</f>
        <v>#REF!</v>
      </c>
    </row>
    <row r="12" spans="1:8">
      <c r="A12" t="s">
        <v>47</v>
      </c>
      <c r="B12" s="139">
        <v>0.42435812702583209</v>
      </c>
      <c r="C12" s="139">
        <v>0.9444551526159275</v>
      </c>
      <c r="D12" s="139">
        <v>0.62674082353718552</v>
      </c>
      <c r="E12" s="139">
        <v>0.95751093811184151</v>
      </c>
      <c r="F12" s="140">
        <f t="shared" si="0"/>
        <v>0.47691485946028256</v>
      </c>
      <c r="G12" s="140">
        <f t="shared" si="0"/>
        <v>1.3823616144983175E-2</v>
      </c>
      <c r="H12" s="140" t="e">
        <f>+#REF!/#REF!-1</f>
        <v>#REF!</v>
      </c>
    </row>
    <row r="13" spans="1:8">
      <c r="A13" t="s">
        <v>49</v>
      </c>
      <c r="B13" s="139">
        <v>0.57564187297416791</v>
      </c>
      <c r="C13" s="139">
        <v>5.5544847384072504E-2</v>
      </c>
      <c r="D13" s="139">
        <v>0.37325917646281453</v>
      </c>
      <c r="E13" s="139">
        <v>4.2489061888158472E-2</v>
      </c>
      <c r="F13" s="140">
        <f t="shared" si="0"/>
        <v>-0.35157744078918896</v>
      </c>
      <c r="G13" s="140">
        <f t="shared" si="0"/>
        <v>-0.23504944402201711</v>
      </c>
      <c r="H13" s="140" t="e">
        <f>+#REF!/#REF!-1</f>
        <v>#REF!</v>
      </c>
    </row>
    <row r="14" spans="1:8">
      <c r="A14" t="s">
        <v>52</v>
      </c>
      <c r="B14" s="146">
        <v>3.849899882106897</v>
      </c>
      <c r="C14" s="146">
        <v>2.0860098961073006</v>
      </c>
      <c r="D14" s="146">
        <v>4.8615285981576664</v>
      </c>
      <c r="E14" s="146">
        <v>1.8321228846088951</v>
      </c>
      <c r="F14" s="140">
        <f t="shared" si="0"/>
        <v>0.26276753864496483</v>
      </c>
      <c r="G14" s="140">
        <f t="shared" si="0"/>
        <v>-0.12170939935241132</v>
      </c>
      <c r="H14" s="140" t="e">
        <f>+#REF!/#REF!-1</f>
        <v>#REF!</v>
      </c>
    </row>
    <row r="15" spans="1:8">
      <c r="A15" t="s">
        <v>54</v>
      </c>
      <c r="B15" s="146">
        <v>0.74767981433508124</v>
      </c>
      <c r="C15" s="146">
        <v>1.7004006928093429</v>
      </c>
      <c r="D15" s="146">
        <v>0.76463383737117752</v>
      </c>
      <c r="E15" s="146">
        <v>1.5341608367238695</v>
      </c>
      <c r="F15" s="140">
        <f t="shared" si="0"/>
        <v>2.2675512580440094E-2</v>
      </c>
      <c r="G15" s="140">
        <f t="shared" si="0"/>
        <v>-9.776510724117482E-2</v>
      </c>
      <c r="H15" s="140" t="e">
        <f>+#REF!/#REF!-1</f>
        <v>#REF!</v>
      </c>
    </row>
    <row r="16" spans="1:8">
      <c r="A16" t="s">
        <v>56</v>
      </c>
      <c r="B16" s="146">
        <v>1.6357644997171863</v>
      </c>
      <c r="C16" s="146">
        <v>3.0489189976518745</v>
      </c>
      <c r="D16" s="146">
        <v>1.8658682759627863</v>
      </c>
      <c r="E16" s="146">
        <v>2.8202046372974543</v>
      </c>
      <c r="F16" s="140">
        <f t="shared" si="0"/>
        <v>0.14067047932962451</v>
      </c>
      <c r="G16" s="140">
        <f t="shared" si="0"/>
        <v>-7.5014902176989473E-2</v>
      </c>
      <c r="H16" s="140" t="e">
        <f>+#REF!/#REF!-1</f>
        <v>#REF!</v>
      </c>
    </row>
    <row r="17" spans="1:8">
      <c r="A17" t="s">
        <v>58</v>
      </c>
      <c r="B17" s="146">
        <v>223.13725482067025</v>
      </c>
      <c r="C17" s="146">
        <v>119.71456122025702</v>
      </c>
      <c r="D17" s="146">
        <v>195.61938251598193</v>
      </c>
      <c r="E17" s="146">
        <v>129.42323233315869</v>
      </c>
      <c r="F17" s="140">
        <f t="shared" si="0"/>
        <v>-0.12332262636646552</v>
      </c>
      <c r="G17" s="140">
        <f t="shared" si="0"/>
        <v>8.1098498076931147E-2</v>
      </c>
      <c r="H17" s="140" t="e">
        <f>+#REF!/#REF!-1</f>
        <v>#REF!</v>
      </c>
    </row>
    <row r="18" spans="1:8">
      <c r="A18" t="s">
        <v>60</v>
      </c>
      <c r="B18" s="146">
        <v>91.881143910502374</v>
      </c>
      <c r="C18" s="146">
        <v>77.721491991813764</v>
      </c>
      <c r="D18" s="146">
        <v>120.56115689873386</v>
      </c>
      <c r="E18" s="146">
        <v>113.60600643954537</v>
      </c>
      <c r="F18" s="140">
        <f t="shared" si="0"/>
        <v>0.31214253292457372</v>
      </c>
      <c r="G18" s="140">
        <f t="shared" si="0"/>
        <v>0.46170645375041497</v>
      </c>
      <c r="H18" s="140" t="e">
        <f>+#REF!/#REF!-1</f>
        <v>#REF!</v>
      </c>
    </row>
    <row r="19" spans="1:8">
      <c r="A19" t="s">
        <v>62</v>
      </c>
      <c r="B19" s="146">
        <v>315.01839873117262</v>
      </c>
      <c r="C19" s="146">
        <v>197.43605321207079</v>
      </c>
      <c r="D19" s="146">
        <v>316.18053941471578</v>
      </c>
      <c r="E19" s="146">
        <v>243.02923877270405</v>
      </c>
      <c r="F19" s="140">
        <f t="shared" si="0"/>
        <v>3.689120026715953E-3</v>
      </c>
      <c r="G19" s="140">
        <f t="shared" si="0"/>
        <v>0.23092634206813556</v>
      </c>
      <c r="H19" s="140" t="e">
        <f>+#REF!/#REF!-1</f>
        <v>#REF!</v>
      </c>
    </row>
    <row r="20" spans="1:8">
      <c r="A20" t="s">
        <v>64</v>
      </c>
      <c r="B20" s="146">
        <v>405.0384694859502</v>
      </c>
      <c r="C20" s="146">
        <v>37.855653079033146</v>
      </c>
      <c r="D20" s="146">
        <v>447.82091696969104</v>
      </c>
      <c r="E20" s="146">
        <v>50.83506125689641</v>
      </c>
      <c r="F20" s="140">
        <f t="shared" si="0"/>
        <v>0.10562563980166551</v>
      </c>
      <c r="G20" s="140">
        <f t="shared" si="0"/>
        <v>0.34286578416083602</v>
      </c>
      <c r="H20" s="140" t="e">
        <f>+#REF!/#REF!-1</f>
        <v>#REF!</v>
      </c>
    </row>
  </sheetData>
  <hyperlinks>
    <hyperlink ref="A1" location="CONTENIDO!A18" display="MENU PRINCIPAL" xr:uid="{00000000-0004-0000-0A00-000000000000}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/>
  <dimension ref="A1:E20"/>
  <sheetViews>
    <sheetView showGridLines="0" workbookViewId="0"/>
  </sheetViews>
  <sheetFormatPr baseColWidth="10" defaultRowHeight="15"/>
  <cols>
    <col min="1" max="1" width="43.7109375" bestFit="1" customWidth="1"/>
    <col min="2" max="2" width="19.7109375" bestFit="1" customWidth="1"/>
    <col min="3" max="3" width="19.42578125" bestFit="1" customWidth="1"/>
    <col min="4" max="4" width="19.7109375" bestFit="1" customWidth="1"/>
    <col min="5" max="5" width="19.42578125" bestFit="1" customWidth="1"/>
  </cols>
  <sheetData>
    <row r="1" spans="1:5" ht="27" thickBot="1">
      <c r="A1" s="147" t="s">
        <v>191</v>
      </c>
      <c r="B1" s="138" t="s">
        <v>192</v>
      </c>
      <c r="C1" s="138" t="s">
        <v>193</v>
      </c>
      <c r="D1" s="138" t="s">
        <v>192</v>
      </c>
      <c r="E1" s="138" t="s">
        <v>193</v>
      </c>
    </row>
    <row r="2" spans="1:5">
      <c r="B2">
        <v>2018</v>
      </c>
      <c r="C2">
        <v>2018</v>
      </c>
      <c r="D2">
        <v>2019</v>
      </c>
      <c r="E2">
        <v>2019</v>
      </c>
    </row>
    <row r="3" spans="1:5">
      <c r="A3" t="s">
        <v>30</v>
      </c>
      <c r="B3" s="139">
        <v>0.65907907841319746</v>
      </c>
      <c r="C3" s="139">
        <v>0.48633099190626472</v>
      </c>
      <c r="D3" s="139">
        <v>0.46202145888451096</v>
      </c>
      <c r="E3" s="139">
        <v>0.46574660180556837</v>
      </c>
    </row>
    <row r="4" spans="1:5">
      <c r="A4" t="s">
        <v>32</v>
      </c>
      <c r="B4" s="139">
        <v>0.13915158816412032</v>
      </c>
      <c r="C4" s="139">
        <v>0.1875968383919695</v>
      </c>
      <c r="D4" s="139">
        <v>8.988275268428593E-2</v>
      </c>
      <c r="E4" s="139">
        <v>0.16829224848012678</v>
      </c>
    </row>
    <row r="5" spans="1:5">
      <c r="A5" t="s">
        <v>34</v>
      </c>
      <c r="B5" s="139">
        <v>7.0022865955169905E-2</v>
      </c>
      <c r="C5" s="139">
        <v>0.19371841665176343</v>
      </c>
      <c r="D5" s="139">
        <v>2.9152689633199509E-2</v>
      </c>
      <c r="E5" s="139">
        <v>0.1810993404127216</v>
      </c>
    </row>
    <row r="6" spans="1:5">
      <c r="A6" t="s">
        <v>36</v>
      </c>
      <c r="B6" s="139">
        <v>0.26958102338559564</v>
      </c>
      <c r="C6" s="139">
        <v>0.40409853419381581</v>
      </c>
      <c r="D6" s="139">
        <v>0.14172663436501395</v>
      </c>
      <c r="E6" s="139">
        <v>0.33179624595772372</v>
      </c>
    </row>
    <row r="7" spans="1:5">
      <c r="A7" t="s">
        <v>39</v>
      </c>
      <c r="B7" s="141">
        <v>8878128246.6299934</v>
      </c>
      <c r="C7" s="142">
        <v>15966366000</v>
      </c>
      <c r="D7" s="142">
        <v>7798995794.0200157</v>
      </c>
      <c r="E7" s="142">
        <v>17605226000</v>
      </c>
    </row>
    <row r="8" spans="1:5">
      <c r="A8" t="s">
        <v>41</v>
      </c>
      <c r="B8" s="143">
        <v>1.5917255047763881</v>
      </c>
      <c r="C8" s="143">
        <v>5.281815066086903</v>
      </c>
      <c r="D8" s="144">
        <v>1.2339178631869478</v>
      </c>
      <c r="E8" s="143">
        <v>5.6570113507408006</v>
      </c>
    </row>
    <row r="9" spans="1:5">
      <c r="A9" t="s">
        <v>43</v>
      </c>
      <c r="B9" s="143">
        <v>1.4040761188677722</v>
      </c>
      <c r="C9" s="143">
        <v>4.2165184808942531</v>
      </c>
      <c r="D9" s="144">
        <v>0.97666331543892626</v>
      </c>
      <c r="E9" s="143">
        <v>4.0187751463481085</v>
      </c>
    </row>
    <row r="10" spans="1:5">
      <c r="A10" t="s">
        <v>182</v>
      </c>
      <c r="B10" s="145">
        <v>1.2410144341899261</v>
      </c>
      <c r="C10" s="143">
        <v>5.4096475869001885</v>
      </c>
      <c r="D10" s="144">
        <v>1.1866374124825754</v>
      </c>
      <c r="E10" s="143">
        <v>6.1488464642176712</v>
      </c>
    </row>
    <row r="11" spans="1:5">
      <c r="A11" t="s">
        <v>45</v>
      </c>
      <c r="B11" s="139">
        <v>0.8057924005152699</v>
      </c>
      <c r="C11" s="139">
        <v>0.184854925193568</v>
      </c>
      <c r="D11" s="139">
        <v>0.84271740422197761</v>
      </c>
      <c r="E11" s="139">
        <v>0.16263213040354096</v>
      </c>
    </row>
    <row r="12" spans="1:5">
      <c r="A12" t="s">
        <v>47</v>
      </c>
      <c r="B12" s="139">
        <v>0.42435812702583209</v>
      </c>
      <c r="C12" s="139">
        <v>0.9444551526159275</v>
      </c>
      <c r="D12" s="139">
        <v>0.62674082353718552</v>
      </c>
      <c r="E12" s="139">
        <v>0.95751093811184151</v>
      </c>
    </row>
    <row r="13" spans="1:5">
      <c r="A13" t="s">
        <v>49</v>
      </c>
      <c r="B13" s="139">
        <v>0.57564187297416791</v>
      </c>
      <c r="C13" s="139">
        <v>5.5544847384072504E-2</v>
      </c>
      <c r="D13" s="139">
        <v>0.37325917646281453</v>
      </c>
      <c r="E13" s="139">
        <v>4.2489061888158472E-2</v>
      </c>
    </row>
    <row r="14" spans="1:5">
      <c r="A14" t="s">
        <v>52</v>
      </c>
      <c r="B14" s="146">
        <v>3.849899882106897</v>
      </c>
      <c r="C14" s="146">
        <v>2.0860098961073006</v>
      </c>
      <c r="D14" s="146">
        <v>4.8615285981576664</v>
      </c>
      <c r="E14" s="146">
        <v>1.8321228846088951</v>
      </c>
    </row>
    <row r="15" spans="1:5">
      <c r="A15" t="s">
        <v>54</v>
      </c>
      <c r="B15" s="146">
        <v>0.74767981433508124</v>
      </c>
      <c r="C15" s="146">
        <v>1.7004006928093429</v>
      </c>
      <c r="D15" s="146">
        <v>0.76463383737117752</v>
      </c>
      <c r="E15" s="146">
        <v>1.5341608367238695</v>
      </c>
    </row>
    <row r="16" spans="1:5">
      <c r="A16" t="s">
        <v>56</v>
      </c>
      <c r="B16" s="146">
        <v>1.6357644997171863</v>
      </c>
      <c r="C16" s="146">
        <v>3.0489189976518745</v>
      </c>
      <c r="D16" s="146">
        <v>1.8658682759627863</v>
      </c>
      <c r="E16" s="146">
        <v>2.8202046372974543</v>
      </c>
    </row>
    <row r="17" spans="1:5">
      <c r="A17" t="s">
        <v>58</v>
      </c>
      <c r="B17" s="146">
        <v>223.13725482067025</v>
      </c>
      <c r="C17" s="146">
        <v>119.71456122025702</v>
      </c>
      <c r="D17" s="146">
        <v>195.61938251598193</v>
      </c>
      <c r="E17" s="146">
        <v>129.42323233315869</v>
      </c>
    </row>
    <row r="18" spans="1:5">
      <c r="A18" t="s">
        <v>60</v>
      </c>
      <c r="B18" s="146">
        <v>91.881143910502374</v>
      </c>
      <c r="C18" s="146">
        <v>77.721491991813764</v>
      </c>
      <c r="D18" s="146">
        <v>120.56115689873386</v>
      </c>
      <c r="E18" s="146">
        <v>113.60600643954537</v>
      </c>
    </row>
    <row r="19" spans="1:5">
      <c r="A19" t="s">
        <v>62</v>
      </c>
      <c r="B19" s="146">
        <v>315.01839873117262</v>
      </c>
      <c r="C19" s="146">
        <v>197.43605321207079</v>
      </c>
      <c r="D19" s="146">
        <v>316.18053941471578</v>
      </c>
      <c r="E19" s="146">
        <v>243.02923877270405</v>
      </c>
    </row>
    <row r="20" spans="1:5">
      <c r="A20" t="s">
        <v>64</v>
      </c>
      <c r="B20" s="146">
        <v>405.0384694859502</v>
      </c>
      <c r="C20" s="146">
        <v>37.855653079033146</v>
      </c>
      <c r="D20" s="146">
        <v>447.82091696969104</v>
      </c>
      <c r="E20" s="146">
        <v>50.83506125689641</v>
      </c>
    </row>
  </sheetData>
  <hyperlinks>
    <hyperlink ref="A1" location="CONTENIDO!A19" display="MENU PRINCIPAL" xr:uid="{00000000-0004-0000-0B00-000000000000}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6"/>
  <dimension ref="A1:H20"/>
  <sheetViews>
    <sheetView showGridLines="0" workbookViewId="0"/>
  </sheetViews>
  <sheetFormatPr baseColWidth="10" defaultRowHeight="15"/>
  <cols>
    <col min="1" max="1" width="43.7109375" bestFit="1" customWidth="1"/>
    <col min="2" max="2" width="19.7109375" bestFit="1" customWidth="1"/>
    <col min="3" max="3" width="19.42578125" bestFit="1" customWidth="1"/>
    <col min="4" max="4" width="19.7109375" bestFit="1" customWidth="1"/>
    <col min="5" max="5" width="19.42578125" bestFit="1" customWidth="1"/>
    <col min="6" max="6" width="30.5703125" hidden="1" customWidth="1"/>
    <col min="7" max="7" width="30.28515625" hidden="1" customWidth="1"/>
    <col min="8" max="8" width="32.85546875" hidden="1" customWidth="1"/>
  </cols>
  <sheetData>
    <row r="1" spans="1:8" ht="27" thickBot="1">
      <c r="A1" s="147" t="s">
        <v>191</v>
      </c>
      <c r="B1" s="138" t="s">
        <v>192</v>
      </c>
      <c r="C1" s="138" t="s">
        <v>193</v>
      </c>
      <c r="D1" s="138" t="s">
        <v>192</v>
      </c>
      <c r="E1" s="138" t="s">
        <v>193</v>
      </c>
      <c r="F1" s="138" t="s">
        <v>194</v>
      </c>
      <c r="G1" s="138" t="s">
        <v>195</v>
      </c>
      <c r="H1" s="138" t="s">
        <v>196</v>
      </c>
    </row>
    <row r="2" spans="1:8">
      <c r="B2">
        <v>2018</v>
      </c>
      <c r="C2">
        <v>2018</v>
      </c>
      <c r="D2">
        <v>2019</v>
      </c>
      <c r="E2">
        <v>2019</v>
      </c>
    </row>
    <row r="3" spans="1:8">
      <c r="A3" t="s">
        <v>30</v>
      </c>
      <c r="B3" s="139">
        <v>0.65907907841319746</v>
      </c>
      <c r="C3" s="139">
        <v>0.48633099190626472</v>
      </c>
      <c r="D3" s="139">
        <v>0.46202145888451096</v>
      </c>
      <c r="E3" s="139">
        <v>0.46574660180556837</v>
      </c>
      <c r="F3" s="140">
        <f t="shared" ref="F3:G20" si="0">+D3/B3-1</f>
        <v>-0.29898934131413113</v>
      </c>
      <c r="G3" s="140">
        <f t="shared" si="0"/>
        <v>-4.2325885956829512E-2</v>
      </c>
      <c r="H3" s="140" t="e">
        <f>+#REF!/#REF!-1</f>
        <v>#REF!</v>
      </c>
    </row>
    <row r="4" spans="1:8">
      <c r="A4" t="s">
        <v>32</v>
      </c>
      <c r="B4" s="139">
        <v>0.13915158816412032</v>
      </c>
      <c r="C4" s="139">
        <v>0.1875968383919695</v>
      </c>
      <c r="D4" s="139">
        <v>8.988275268428593E-2</v>
      </c>
      <c r="E4" s="139">
        <v>0.16829224848012678</v>
      </c>
      <c r="F4" s="140">
        <f t="shared" si="0"/>
        <v>-0.35406592285332006</v>
      </c>
      <c r="G4" s="140">
        <f t="shared" si="0"/>
        <v>-0.10290466554402811</v>
      </c>
      <c r="H4" s="140" t="e">
        <f>+#REF!/#REF!-1</f>
        <v>#REF!</v>
      </c>
    </row>
    <row r="5" spans="1:8">
      <c r="A5" t="s">
        <v>34</v>
      </c>
      <c r="B5" s="139">
        <v>7.0022865955169905E-2</v>
      </c>
      <c r="C5" s="139">
        <v>0.19371841665176343</v>
      </c>
      <c r="D5" s="139">
        <v>2.9152689633199509E-2</v>
      </c>
      <c r="E5" s="139">
        <v>0.1810993404127216</v>
      </c>
      <c r="F5" s="140">
        <f t="shared" si="0"/>
        <v>-0.58366900246751308</v>
      </c>
      <c r="G5" s="140">
        <f t="shared" si="0"/>
        <v>-6.5141334815503993E-2</v>
      </c>
      <c r="H5" s="140" t="e">
        <f>+#REF!/#REF!-1</f>
        <v>#REF!</v>
      </c>
    </row>
    <row r="6" spans="1:8">
      <c r="A6" t="s">
        <v>36</v>
      </c>
      <c r="B6" s="139">
        <v>0.26958102338559564</v>
      </c>
      <c r="C6" s="139">
        <v>0.40409853419381581</v>
      </c>
      <c r="D6" s="139">
        <v>0.14172663436501395</v>
      </c>
      <c r="E6" s="139">
        <v>0.33179624595772372</v>
      </c>
      <c r="F6" s="140">
        <f t="shared" si="0"/>
        <v>-0.47427073098429839</v>
      </c>
      <c r="G6" s="140">
        <f t="shared" si="0"/>
        <v>-0.1789224214345061</v>
      </c>
      <c r="H6" s="140" t="e">
        <f>+#REF!/#REF!-1</f>
        <v>#REF!</v>
      </c>
    </row>
    <row r="7" spans="1:8">
      <c r="A7" t="s">
        <v>39</v>
      </c>
      <c r="B7" s="141">
        <v>8878128246.6299934</v>
      </c>
      <c r="C7" s="142">
        <v>15966366000</v>
      </c>
      <c r="D7" s="142">
        <v>7798995794.0200157</v>
      </c>
      <c r="E7" s="142">
        <v>17605226000</v>
      </c>
      <c r="F7" s="140">
        <f t="shared" si="0"/>
        <v>-0.12154954542581653</v>
      </c>
      <c r="G7" s="140">
        <f t="shared" si="0"/>
        <v>0.10264452161500004</v>
      </c>
      <c r="H7" s="140" t="e">
        <f>+#REF!/#REF!-1</f>
        <v>#REF!</v>
      </c>
    </row>
    <row r="8" spans="1:8">
      <c r="A8" t="s">
        <v>41</v>
      </c>
      <c r="B8" s="143">
        <v>1.5917255047763881</v>
      </c>
      <c r="C8" s="143">
        <v>5.281815066086903</v>
      </c>
      <c r="D8" s="144">
        <v>1.2339178631869478</v>
      </c>
      <c r="E8" s="143">
        <v>5.6570113507408006</v>
      </c>
      <c r="F8" s="140">
        <f t="shared" si="0"/>
        <v>-0.22479230276561191</v>
      </c>
      <c r="G8" s="140">
        <f t="shared" si="0"/>
        <v>7.1035483060156945E-2</v>
      </c>
      <c r="H8" s="140" t="e">
        <f>+#REF!/#REF!-1</f>
        <v>#REF!</v>
      </c>
    </row>
    <row r="9" spans="1:8">
      <c r="A9" t="s">
        <v>43</v>
      </c>
      <c r="B9" s="143">
        <v>1.4040761188677722</v>
      </c>
      <c r="C9" s="143">
        <v>4.2165184808942531</v>
      </c>
      <c r="D9" s="144">
        <v>0.97666331543892626</v>
      </c>
      <c r="E9" s="143">
        <v>4.0187751463481085</v>
      </c>
      <c r="F9" s="140">
        <f t="shared" si="0"/>
        <v>-0.30440856993814958</v>
      </c>
      <c r="G9" s="140">
        <f t="shared" si="0"/>
        <v>-4.6897300567317002E-2</v>
      </c>
      <c r="H9" s="140" t="e">
        <f>+#REF!/#REF!-1</f>
        <v>#REF!</v>
      </c>
    </row>
    <row r="10" spans="1:8">
      <c r="A10" t="s">
        <v>182</v>
      </c>
      <c r="B10" s="145">
        <v>1.2410144341899261</v>
      </c>
      <c r="C10" s="143">
        <v>5.4096475869001885</v>
      </c>
      <c r="D10" s="144">
        <v>1.1866374124825754</v>
      </c>
      <c r="E10" s="143">
        <v>6.1488464642176712</v>
      </c>
      <c r="F10" s="140">
        <f t="shared" si="0"/>
        <v>-4.381659085443701E-2</v>
      </c>
      <c r="G10" s="140">
        <f t="shared" si="0"/>
        <v>0.13664455316969271</v>
      </c>
      <c r="H10" s="140" t="e">
        <f>+#REF!/#REF!-1</f>
        <v>#REF!</v>
      </c>
    </row>
    <row r="11" spans="1:8">
      <c r="A11" t="s">
        <v>45</v>
      </c>
      <c r="B11" s="139">
        <v>0.8057924005152699</v>
      </c>
      <c r="C11" s="139">
        <v>0.184854925193568</v>
      </c>
      <c r="D11" s="139">
        <v>0.84271740422197761</v>
      </c>
      <c r="E11" s="139">
        <v>0.16263213040354096</v>
      </c>
      <c r="F11" s="140">
        <f t="shared" si="0"/>
        <v>4.5824462582540804E-2</v>
      </c>
      <c r="G11" s="140">
        <f t="shared" si="0"/>
        <v>-0.12021748821004785</v>
      </c>
      <c r="H11" s="140" t="e">
        <f>+#REF!/#REF!-1</f>
        <v>#REF!</v>
      </c>
    </row>
    <row r="12" spans="1:8">
      <c r="A12" t="s">
        <v>47</v>
      </c>
      <c r="B12" s="139">
        <v>0.42435812702583209</v>
      </c>
      <c r="C12" s="139">
        <v>0.9444551526159275</v>
      </c>
      <c r="D12" s="139">
        <v>0.62674082353718552</v>
      </c>
      <c r="E12" s="139">
        <v>0.95751093811184151</v>
      </c>
      <c r="F12" s="140">
        <f t="shared" si="0"/>
        <v>0.47691485946028256</v>
      </c>
      <c r="G12" s="140">
        <f t="shared" si="0"/>
        <v>1.3823616144983175E-2</v>
      </c>
      <c r="H12" s="140" t="e">
        <f>+#REF!/#REF!-1</f>
        <v>#REF!</v>
      </c>
    </row>
    <row r="13" spans="1:8">
      <c r="A13" t="s">
        <v>49</v>
      </c>
      <c r="B13" s="139">
        <v>0.57564187297416791</v>
      </c>
      <c r="C13" s="139">
        <v>5.5544847384072504E-2</v>
      </c>
      <c r="D13" s="139">
        <v>0.37325917646281453</v>
      </c>
      <c r="E13" s="139">
        <v>4.2489061888158472E-2</v>
      </c>
      <c r="F13" s="140">
        <f t="shared" si="0"/>
        <v>-0.35157744078918896</v>
      </c>
      <c r="G13" s="140">
        <f t="shared" si="0"/>
        <v>-0.23504944402201711</v>
      </c>
      <c r="H13" s="140" t="e">
        <f>+#REF!/#REF!-1</f>
        <v>#REF!</v>
      </c>
    </row>
    <row r="14" spans="1:8">
      <c r="A14" t="s">
        <v>52</v>
      </c>
      <c r="B14" s="146">
        <v>3.849899882106897</v>
      </c>
      <c r="C14" s="146">
        <v>2.0860098961073006</v>
      </c>
      <c r="D14" s="146">
        <v>4.8615285981576664</v>
      </c>
      <c r="E14" s="146">
        <v>1.8321228846088951</v>
      </c>
      <c r="F14" s="140">
        <f t="shared" si="0"/>
        <v>0.26276753864496483</v>
      </c>
      <c r="G14" s="140">
        <f t="shared" si="0"/>
        <v>-0.12170939935241132</v>
      </c>
      <c r="H14" s="140" t="e">
        <f>+#REF!/#REF!-1</f>
        <v>#REF!</v>
      </c>
    </row>
    <row r="15" spans="1:8">
      <c r="A15" t="s">
        <v>54</v>
      </c>
      <c r="B15" s="146">
        <v>0.74767981433508124</v>
      </c>
      <c r="C15" s="146">
        <v>1.7004006928093429</v>
      </c>
      <c r="D15" s="146">
        <v>0.76463383737117752</v>
      </c>
      <c r="E15" s="146">
        <v>1.5341608367238695</v>
      </c>
      <c r="F15" s="140">
        <f t="shared" si="0"/>
        <v>2.2675512580440094E-2</v>
      </c>
      <c r="G15" s="140">
        <f t="shared" si="0"/>
        <v>-9.776510724117482E-2</v>
      </c>
      <c r="H15" s="140" t="e">
        <f>+#REF!/#REF!-1</f>
        <v>#REF!</v>
      </c>
    </row>
    <row r="16" spans="1:8">
      <c r="A16" t="s">
        <v>56</v>
      </c>
      <c r="B16" s="146">
        <v>1.6357644997171863</v>
      </c>
      <c r="C16" s="146">
        <v>3.0489189976518745</v>
      </c>
      <c r="D16" s="146">
        <v>1.8658682759627863</v>
      </c>
      <c r="E16" s="146">
        <v>2.8202046372974543</v>
      </c>
      <c r="F16" s="140">
        <f t="shared" si="0"/>
        <v>0.14067047932962451</v>
      </c>
      <c r="G16" s="140">
        <f t="shared" si="0"/>
        <v>-7.5014902176989473E-2</v>
      </c>
      <c r="H16" s="140" t="e">
        <f>+#REF!/#REF!-1</f>
        <v>#REF!</v>
      </c>
    </row>
    <row r="17" spans="1:8">
      <c r="A17" t="s">
        <v>58</v>
      </c>
      <c r="B17" s="146">
        <v>223.13725482067025</v>
      </c>
      <c r="C17" s="146">
        <v>119.71456122025702</v>
      </c>
      <c r="D17" s="146">
        <v>195.61938251598193</v>
      </c>
      <c r="E17" s="146">
        <v>129.42323233315869</v>
      </c>
      <c r="F17" s="140">
        <f t="shared" si="0"/>
        <v>-0.12332262636646552</v>
      </c>
      <c r="G17" s="140">
        <f t="shared" si="0"/>
        <v>8.1098498076931147E-2</v>
      </c>
      <c r="H17" s="140" t="e">
        <f>+#REF!/#REF!-1</f>
        <v>#REF!</v>
      </c>
    </row>
    <row r="18" spans="1:8">
      <c r="A18" t="s">
        <v>60</v>
      </c>
      <c r="B18" s="146">
        <v>91.881143910502374</v>
      </c>
      <c r="C18" s="146">
        <v>77.721491991813764</v>
      </c>
      <c r="D18" s="146">
        <v>120.56115689873386</v>
      </c>
      <c r="E18" s="146">
        <v>113.60600643954537</v>
      </c>
      <c r="F18" s="140">
        <f t="shared" si="0"/>
        <v>0.31214253292457372</v>
      </c>
      <c r="G18" s="140">
        <f t="shared" si="0"/>
        <v>0.46170645375041497</v>
      </c>
      <c r="H18" s="140" t="e">
        <f>+#REF!/#REF!-1</f>
        <v>#REF!</v>
      </c>
    </row>
    <row r="19" spans="1:8">
      <c r="A19" t="s">
        <v>62</v>
      </c>
      <c r="B19" s="146">
        <v>315.01839873117262</v>
      </c>
      <c r="C19" s="146">
        <v>197.43605321207079</v>
      </c>
      <c r="D19" s="146">
        <v>316.18053941471578</v>
      </c>
      <c r="E19" s="146">
        <v>243.02923877270405</v>
      </c>
      <c r="F19" s="140">
        <f t="shared" si="0"/>
        <v>3.689120026715953E-3</v>
      </c>
      <c r="G19" s="140">
        <f t="shared" si="0"/>
        <v>0.23092634206813556</v>
      </c>
      <c r="H19" s="140" t="e">
        <f>+#REF!/#REF!-1</f>
        <v>#REF!</v>
      </c>
    </row>
    <row r="20" spans="1:8">
      <c r="A20" t="s">
        <v>64</v>
      </c>
      <c r="B20" s="146">
        <v>405.0384694859502</v>
      </c>
      <c r="C20" s="146">
        <v>37.855653079033146</v>
      </c>
      <c r="D20" s="146">
        <v>447.82091696969104</v>
      </c>
      <c r="E20" s="146">
        <v>50.83506125689641</v>
      </c>
      <c r="F20" s="140">
        <f t="shared" si="0"/>
        <v>0.10562563980166551</v>
      </c>
      <c r="G20" s="140">
        <f t="shared" si="0"/>
        <v>0.34286578416083602</v>
      </c>
      <c r="H20" s="140" t="e">
        <f>+#REF!/#REF!-1</f>
        <v>#REF!</v>
      </c>
    </row>
  </sheetData>
  <hyperlinks>
    <hyperlink ref="A1" location="CONTENIDO!A20" display="MENU PRINCIPAL" xr:uid="{00000000-0004-0000-0C00-000000000000}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7"/>
  <dimension ref="A2:C79"/>
  <sheetViews>
    <sheetView showGridLines="0" zoomScale="85" zoomScaleNormal="85" workbookViewId="0">
      <selection activeCell="A8" sqref="A8:C8"/>
    </sheetView>
  </sheetViews>
  <sheetFormatPr baseColWidth="10" defaultRowHeight="15"/>
  <cols>
    <col min="1" max="1" width="59.7109375" style="2" customWidth="1"/>
    <col min="2" max="16384" width="11.42578125" style="2"/>
  </cols>
  <sheetData>
    <row r="2" spans="1:3" ht="15.75" thickBot="1"/>
    <row r="3" spans="1:3" ht="23.25">
      <c r="A3" s="485" t="s">
        <v>184</v>
      </c>
      <c r="B3" s="486"/>
      <c r="C3" s="487"/>
    </row>
    <row r="4" spans="1:3">
      <c r="A4" s="130"/>
      <c r="B4" s="15"/>
      <c r="C4" s="20"/>
    </row>
    <row r="5" spans="1:3" ht="20.25" customHeight="1">
      <c r="A5" s="488" t="s">
        <v>185</v>
      </c>
      <c r="B5" s="489"/>
      <c r="C5" s="490"/>
    </row>
    <row r="6" spans="1:3" ht="21.75" customHeight="1">
      <c r="A6" s="488" t="s">
        <v>186</v>
      </c>
      <c r="B6" s="489"/>
      <c r="C6" s="490"/>
    </row>
    <row r="7" spans="1:3" ht="20.25" customHeight="1">
      <c r="A7" s="488" t="s">
        <v>187</v>
      </c>
      <c r="B7" s="489"/>
      <c r="C7" s="490"/>
    </row>
    <row r="8" spans="1:3" ht="23.25" customHeight="1">
      <c r="A8" s="488" t="s">
        <v>188</v>
      </c>
      <c r="B8" s="489"/>
      <c r="C8" s="490"/>
    </row>
    <row r="9" spans="1:3" ht="20.25" customHeight="1">
      <c r="A9" s="488" t="s">
        <v>189</v>
      </c>
      <c r="B9" s="489"/>
      <c r="C9" s="490"/>
    </row>
    <row r="10" spans="1:3" ht="21" customHeight="1" thickBot="1">
      <c r="A10" s="491" t="s">
        <v>190</v>
      </c>
      <c r="B10" s="492"/>
      <c r="C10" s="493"/>
    </row>
    <row r="12" spans="1:3" ht="15.75" thickBot="1"/>
    <row r="13" spans="1:3" ht="23.25">
      <c r="A13" s="485" t="s">
        <v>197</v>
      </c>
      <c r="B13" s="486"/>
      <c r="C13" s="487"/>
    </row>
    <row r="14" spans="1:3">
      <c r="A14" s="130"/>
      <c r="B14" s="15"/>
      <c r="C14" s="20"/>
    </row>
    <row r="15" spans="1:3" ht="21">
      <c r="A15" s="488" t="s">
        <v>198</v>
      </c>
      <c r="B15" s="489"/>
      <c r="C15" s="490"/>
    </row>
    <row r="16" spans="1:3" ht="21">
      <c r="A16" s="488" t="s">
        <v>199</v>
      </c>
      <c r="B16" s="489"/>
      <c r="C16" s="490"/>
    </row>
    <row r="17" spans="1:3" ht="21">
      <c r="A17" s="488" t="s">
        <v>200</v>
      </c>
      <c r="B17" s="489"/>
      <c r="C17" s="490"/>
    </row>
    <row r="18" spans="1:3" ht="21">
      <c r="A18" s="488" t="s">
        <v>201</v>
      </c>
      <c r="B18" s="489"/>
      <c r="C18" s="490"/>
    </row>
    <row r="19" spans="1:3" ht="21">
      <c r="A19" s="488" t="s">
        <v>202</v>
      </c>
      <c r="B19" s="489"/>
      <c r="C19" s="490"/>
    </row>
    <row r="20" spans="1:3" ht="21.75" thickBot="1">
      <c r="A20" s="491" t="s">
        <v>203</v>
      </c>
      <c r="B20" s="492"/>
      <c r="C20" s="493"/>
    </row>
    <row r="22" spans="1:3" ht="15.75" thickBot="1"/>
    <row r="23" spans="1:3" ht="23.25">
      <c r="A23" s="485" t="s">
        <v>469</v>
      </c>
      <c r="B23" s="486"/>
      <c r="C23" s="487"/>
    </row>
    <row r="24" spans="1:3">
      <c r="A24" s="130"/>
      <c r="B24" s="15"/>
      <c r="C24" s="20"/>
    </row>
    <row r="25" spans="1:3" ht="21">
      <c r="A25" s="488" t="s">
        <v>470</v>
      </c>
      <c r="B25" s="489"/>
      <c r="C25" s="490"/>
    </row>
    <row r="26" spans="1:3" ht="21">
      <c r="A26" s="488" t="s">
        <v>471</v>
      </c>
      <c r="B26" s="489"/>
      <c r="C26" s="490"/>
    </row>
    <row r="27" spans="1:3" ht="21">
      <c r="A27" s="488" t="s">
        <v>472</v>
      </c>
      <c r="B27" s="489"/>
      <c r="C27" s="490"/>
    </row>
    <row r="28" spans="1:3" ht="21">
      <c r="A28" s="488" t="s">
        <v>473</v>
      </c>
      <c r="B28" s="489"/>
      <c r="C28" s="490"/>
    </row>
    <row r="29" spans="1:3" ht="21">
      <c r="A29" s="488" t="s">
        <v>474</v>
      </c>
      <c r="B29" s="489"/>
      <c r="C29" s="490"/>
    </row>
    <row r="30" spans="1:3" ht="21.75" thickBot="1">
      <c r="A30" s="491" t="s">
        <v>475</v>
      </c>
      <c r="B30" s="492"/>
      <c r="C30" s="493"/>
    </row>
    <row r="57" ht="27.75" customHeight="1"/>
    <row r="79" spans="1:1" ht="15.75">
      <c r="A79" s="33"/>
    </row>
  </sheetData>
  <dataConsolidate/>
  <mergeCells count="21">
    <mergeCell ref="A28:C28"/>
    <mergeCell ref="A29:C29"/>
    <mergeCell ref="A30:C30"/>
    <mergeCell ref="A18:C18"/>
    <mergeCell ref="A19:C19"/>
    <mergeCell ref="A20:C20"/>
    <mergeCell ref="A23:C23"/>
    <mergeCell ref="A25:C25"/>
    <mergeCell ref="A26:C26"/>
    <mergeCell ref="A3:C3"/>
    <mergeCell ref="A13:C13"/>
    <mergeCell ref="A15:C15"/>
    <mergeCell ref="A16:C16"/>
    <mergeCell ref="A27:C27"/>
    <mergeCell ref="A17:C17"/>
    <mergeCell ref="A5:C5"/>
    <mergeCell ref="A6:C6"/>
    <mergeCell ref="A7:C7"/>
    <mergeCell ref="A8:C8"/>
    <mergeCell ref="A9:C9"/>
    <mergeCell ref="A10:C10"/>
  </mergeCells>
  <hyperlinks>
    <hyperlink ref="A5" location="'Estados Financieros'!A1" display="1.1 ESTADOS FINANCIEROS" xr:uid="{00000000-0004-0000-0D00-000000000000}"/>
    <hyperlink ref="A6" location="'Inductores Operativos y Financi'!A1" display="1.2 INDUCTORES OPERATIVOS Y FINANCIEROS" xr:uid="{00000000-0004-0000-0D00-000001000000}"/>
    <hyperlink ref="A7" location="'Inductores de Rentabilidad'!A1" display="1.3 INDUCTORES DE RENTABILIDAD" xr:uid="{00000000-0004-0000-0D00-000002000000}"/>
    <hyperlink ref="A8" location="'Razones Financieras'!A1" display="1.4 RAZONES FINANCIERAS" xr:uid="{00000000-0004-0000-0D00-000003000000}"/>
    <hyperlink ref="A9" location="'Flujo de Caja'!A1" display="1.5 FLUJO DE CAJA LIBRE" xr:uid="{00000000-0004-0000-0D00-000004000000}"/>
    <hyperlink ref="A10" location="Informe!A1" display="1.6 INFORME DE GRÁFICOS" xr:uid="{00000000-0004-0000-0D00-000005000000}"/>
    <hyperlink ref="A15" location="'Estados Financieros'!A1" display="1.1 ESTADOS FINANCIEROS" xr:uid="{00000000-0004-0000-0D00-000006000000}"/>
    <hyperlink ref="A16" location="'Inductores Operativos y Financi'!A1" display="1.2 INDUCTORES OPERATIVOS Y FINANCIEROS" xr:uid="{00000000-0004-0000-0D00-000007000000}"/>
    <hyperlink ref="A17" location="'Inductores de Rentabilidad'!A1" display="1.3 INDUCTORES DE RENTABILIDAD" xr:uid="{00000000-0004-0000-0D00-000008000000}"/>
    <hyperlink ref="A18" location="'Razones Financieras'!A1" display="1.4 RAZONES FINANCIERAS" xr:uid="{00000000-0004-0000-0D00-000009000000}"/>
    <hyperlink ref="A19" location="'Flujo de Caja'!A1" display="1.5 FLUJO DE CAJA LIBRE" xr:uid="{00000000-0004-0000-0D00-00000A000000}"/>
    <hyperlink ref="A20" location="Informe!A1" display="1.6 INFORME DE GRÁFICOS" xr:uid="{00000000-0004-0000-0D00-00000B000000}"/>
    <hyperlink ref="A15:C15" location="'RENTABILIDAD OPERACIONAL'!A1" display="2.1 RENTABILIDAD OPERACIONAL" xr:uid="{00000000-0004-0000-0D00-00000C000000}"/>
    <hyperlink ref="A16:C16" location="ROE.!A1" display="2.2 ROE" xr:uid="{00000000-0004-0000-0D00-00000D000000}"/>
    <hyperlink ref="A17:C17" location="'RAZON CORRIENTE'!A1" display="2.3 RAZON CORRIENTE" xr:uid="{00000000-0004-0000-0D00-00000E000000}"/>
    <hyperlink ref="A18:C18" location="'INDICE DE SOLIDEZ.'!A1" display="2.4 INDICE DE SOLIDEZ" xr:uid="{00000000-0004-0000-0D00-00000F000000}"/>
    <hyperlink ref="A19:C19" location="ENDEUDAMIENTO!A1" display="2.5 ENDEUDAMIENTO" xr:uid="{00000000-0004-0000-0D00-000010000000}"/>
    <hyperlink ref="A20:C20" location="'ROTACION CARTERA.'!A1" display="2.6 ROTACION DE CARTERA" xr:uid="{00000000-0004-0000-0D00-000011000000}"/>
    <hyperlink ref="A25" location="'Estados Financieros'!A1" display="1.1 ESTADOS FINANCIEROS" xr:uid="{00000000-0004-0000-0D00-000012000000}"/>
    <hyperlink ref="A26" location="'Inductores Operativos y Financi'!A1" display="1.2 INDUCTORES OPERATIVOS Y FINANCIEROS" xr:uid="{00000000-0004-0000-0D00-000013000000}"/>
    <hyperlink ref="A27" location="'Inductores de Rentabilidad'!A1" display="1.3 INDUCTORES DE RENTABILIDAD" xr:uid="{00000000-0004-0000-0D00-000014000000}"/>
    <hyperlink ref="A28" location="'Razones Financieras'!A1" display="1.4 RAZONES FINANCIERAS" xr:uid="{00000000-0004-0000-0D00-000015000000}"/>
    <hyperlink ref="A29" location="'Flujo de Caja'!A1" display="1.5 FLUJO DE CAJA LIBRE" xr:uid="{00000000-0004-0000-0D00-000016000000}"/>
    <hyperlink ref="A30" location="Informe!A1" display="1.6 INFORME DE GRÁFICOS" xr:uid="{00000000-0004-0000-0D00-000017000000}"/>
    <hyperlink ref="A25:C25" location="'Cifras Historicas'!A1" display="3.1 CIFRAS HISTORICAS" xr:uid="{00000000-0004-0000-0D00-000018000000}"/>
    <hyperlink ref="A26:C26" location="'Analisis Financiero'!A1" display="3.2 ANALISIS FINANCIERO" xr:uid="{00000000-0004-0000-0D00-000019000000}"/>
    <hyperlink ref="A27:C27" location="'Estrategias Operativas'!A1" display="3.3 ESTRATEGIAS OPERATIVAS" xr:uid="{00000000-0004-0000-0D00-00001A000000}"/>
    <hyperlink ref="A28:C28" location="'Estados Finan + Estrategia'!A1" display="3.4 ESTADOS + ESTRATEGIA" xr:uid="{00000000-0004-0000-0D00-00001B000000}"/>
    <hyperlink ref="A29:C29" location="'Valoración Sin Estrategia'!A28" display="3.5 VALORACION SIN ESTRATEGIA" xr:uid="{00000000-0004-0000-0D00-00001C000000}"/>
    <hyperlink ref="A30:C30" location="'Valoración + Estrategia'!A1" display="3.6 VALORACION CON ESTRATEGIA" xr:uid="{00000000-0004-0000-0D00-00001D000000}"/>
  </hyperlink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>
    <tabColor rgb="FF00B050"/>
  </sheetPr>
  <dimension ref="A1:W95"/>
  <sheetViews>
    <sheetView zoomScale="85" zoomScaleNormal="85" workbookViewId="0"/>
  </sheetViews>
  <sheetFormatPr baseColWidth="10" defaultRowHeight="15"/>
  <cols>
    <col min="1" max="1" width="32.5703125" style="2" customWidth="1"/>
    <col min="2" max="3" width="11.42578125" style="2"/>
    <col min="4" max="5" width="11.42578125" style="2" customWidth="1"/>
    <col min="6" max="8" width="18" style="2" customWidth="1"/>
    <col min="9" max="10" width="18" style="2" bestFit="1" customWidth="1"/>
    <col min="11" max="11" width="8.85546875" style="2" customWidth="1"/>
    <col min="12" max="13" width="8.140625" style="2" customWidth="1"/>
    <col min="14" max="15" width="8.140625" style="2" bestFit="1" customWidth="1"/>
    <col min="16" max="16" width="20.28515625" style="2" bestFit="1" customWidth="1"/>
    <col min="17" max="17" width="11.42578125" style="2"/>
    <col min="18" max="18" width="16" style="2" bestFit="1" customWidth="1"/>
    <col min="19" max="19" width="11.28515625" style="2" bestFit="1" customWidth="1"/>
    <col min="20" max="20" width="11.42578125" style="2"/>
    <col min="21" max="21" width="22.7109375" style="2" bestFit="1" customWidth="1"/>
    <col min="22" max="22" width="42.42578125" style="2" bestFit="1" customWidth="1"/>
    <col min="23" max="23" width="58.5703125" style="2" bestFit="1" customWidth="1"/>
    <col min="24" max="24" width="14.5703125" style="2" customWidth="1"/>
    <col min="25" max="16384" width="11.42578125" style="2"/>
  </cols>
  <sheetData>
    <row r="1" spans="1:15" ht="27" thickBot="1">
      <c r="A1" s="147" t="s">
        <v>191</v>
      </c>
    </row>
    <row r="5" spans="1:15" ht="15.75" thickBot="1"/>
    <row r="6" spans="1:15" ht="15" customHeight="1">
      <c r="A6" s="496" t="s">
        <v>204</v>
      </c>
      <c r="B6" s="497"/>
      <c r="C6" s="497"/>
      <c r="D6" s="497"/>
      <c r="E6" s="497"/>
      <c r="F6" s="497"/>
      <c r="G6" s="497"/>
      <c r="H6" s="497"/>
      <c r="I6" s="497"/>
      <c r="J6" s="497"/>
      <c r="K6" s="497"/>
      <c r="L6" s="497"/>
      <c r="M6" s="497"/>
      <c r="N6" s="497"/>
      <c r="O6" s="498"/>
    </row>
    <row r="7" spans="1:15" ht="15" customHeight="1">
      <c r="A7" s="499"/>
      <c r="B7" s="500"/>
      <c r="C7" s="500"/>
      <c r="D7" s="500"/>
      <c r="E7" s="500"/>
      <c r="F7" s="500"/>
      <c r="G7" s="500"/>
      <c r="H7" s="500"/>
      <c r="I7" s="500"/>
      <c r="J7" s="500"/>
      <c r="K7" s="500"/>
      <c r="L7" s="500"/>
      <c r="M7" s="500"/>
      <c r="N7" s="500"/>
      <c r="O7" s="501"/>
    </row>
    <row r="8" spans="1:15" ht="15" customHeight="1">
      <c r="A8" s="499"/>
      <c r="B8" s="500"/>
      <c r="C8" s="500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0"/>
      <c r="O8" s="501"/>
    </row>
    <row r="9" spans="1:15" ht="15" customHeight="1">
      <c r="A9" s="499"/>
      <c r="B9" s="500"/>
      <c r="C9" s="500"/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1"/>
    </row>
    <row r="10" spans="1:15" ht="15" customHeight="1" thickBot="1">
      <c r="A10" s="502"/>
      <c r="B10" s="503"/>
      <c r="C10" s="503"/>
      <c r="D10" s="503"/>
      <c r="E10" s="503"/>
      <c r="F10" s="503"/>
      <c r="G10" s="503"/>
      <c r="H10" s="503"/>
      <c r="I10" s="503"/>
      <c r="J10" s="503"/>
      <c r="K10" s="503"/>
      <c r="L10" s="503"/>
      <c r="M10" s="503"/>
      <c r="N10" s="503"/>
      <c r="O10" s="504"/>
    </row>
    <row r="11" spans="1:15">
      <c r="A11" s="148"/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</row>
    <row r="12" spans="1:15" ht="15.75" thickBot="1"/>
    <row r="13" spans="1:15">
      <c r="A13" s="505"/>
      <c r="B13" s="506"/>
      <c r="C13" s="506"/>
      <c r="D13" s="506"/>
      <c r="E13" s="506"/>
      <c r="F13" s="506"/>
      <c r="G13" s="506"/>
      <c r="H13" s="506"/>
      <c r="I13" s="506"/>
      <c r="J13" s="506"/>
      <c r="K13" s="506"/>
      <c r="L13" s="506"/>
      <c r="M13" s="506"/>
      <c r="N13" s="506"/>
      <c r="O13" s="507"/>
    </row>
    <row r="14" spans="1:15" ht="15" customHeight="1">
      <c r="A14" s="508" t="s">
        <v>205</v>
      </c>
      <c r="B14" s="509"/>
      <c r="C14" s="509"/>
      <c r="D14" s="509"/>
      <c r="E14" s="509"/>
      <c r="F14" s="509"/>
      <c r="G14" s="509"/>
      <c r="H14" s="509"/>
      <c r="I14" s="509"/>
      <c r="J14" s="509"/>
      <c r="K14" s="509"/>
      <c r="L14" s="509"/>
      <c r="M14" s="509"/>
      <c r="N14" s="509"/>
      <c r="O14" s="510"/>
    </row>
    <row r="15" spans="1:15" ht="15.75" customHeight="1" thickBot="1">
      <c r="A15" s="511"/>
      <c r="B15" s="512"/>
      <c r="C15" s="512"/>
      <c r="D15" s="512"/>
      <c r="E15" s="512"/>
      <c r="F15" s="512"/>
      <c r="G15" s="512"/>
      <c r="H15" s="512"/>
      <c r="I15" s="512"/>
      <c r="J15" s="512"/>
      <c r="K15" s="512"/>
      <c r="L15" s="512"/>
      <c r="M15" s="512"/>
      <c r="N15" s="512"/>
      <c r="O15" s="513"/>
    </row>
    <row r="16" spans="1:15" ht="23.25">
      <c r="A16" s="514" t="str">
        <f>+'Estados Financieros'!$B$6</f>
        <v>FARMACÉUTICAS SAS</v>
      </c>
      <c r="B16" s="515"/>
      <c r="C16" s="515"/>
      <c r="D16" s="515"/>
      <c r="E16" s="515"/>
      <c r="F16" s="515"/>
      <c r="G16" s="515"/>
      <c r="H16" s="515"/>
      <c r="I16" s="515"/>
      <c r="J16" s="515"/>
      <c r="K16" s="515"/>
      <c r="L16" s="515"/>
      <c r="M16" s="515"/>
      <c r="N16" s="515"/>
      <c r="O16" s="515"/>
    </row>
    <row r="17" spans="1:15">
      <c r="A17" s="494" t="s">
        <v>206</v>
      </c>
      <c r="B17" s="495"/>
      <c r="C17" s="495"/>
      <c r="D17" s="495"/>
      <c r="E17" s="495"/>
      <c r="F17" s="495"/>
      <c r="G17" s="495"/>
      <c r="H17" s="495"/>
      <c r="I17" s="495"/>
      <c r="J17" s="495"/>
      <c r="K17" s="495"/>
      <c r="L17" s="495"/>
      <c r="M17" s="495"/>
      <c r="N17" s="495"/>
      <c r="O17" s="495"/>
    </row>
    <row r="18" spans="1:15">
      <c r="A18" s="494" t="s">
        <v>207</v>
      </c>
      <c r="B18" s="495"/>
      <c r="C18" s="495"/>
      <c r="D18" s="495"/>
      <c r="E18" s="495"/>
      <c r="F18" s="495"/>
      <c r="G18" s="495"/>
      <c r="H18" s="495"/>
      <c r="I18" s="495"/>
      <c r="J18" s="495"/>
      <c r="K18" s="495"/>
      <c r="L18" s="495"/>
      <c r="M18" s="495"/>
      <c r="N18" s="495"/>
      <c r="O18" s="495"/>
    </row>
    <row r="19" spans="1:15" ht="15.75" thickBot="1">
      <c r="A19" s="519" t="s">
        <v>208</v>
      </c>
      <c r="B19" s="520"/>
      <c r="C19" s="520"/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</row>
    <row r="20" spans="1:15" ht="15.75" thickBot="1">
      <c r="A20" s="521" t="s">
        <v>209</v>
      </c>
      <c r="B20" s="521"/>
      <c r="C20" s="521"/>
      <c r="D20" s="521"/>
      <c r="E20" s="521"/>
      <c r="F20" s="150">
        <f>+'Estados Financieros'!C9</f>
        <v>2016</v>
      </c>
      <c r="G20" s="150">
        <f>+'Estados Financieros'!D9</f>
        <v>2017</v>
      </c>
      <c r="H20" s="150">
        <f>+'Estados Financieros'!E9</f>
        <v>2018</v>
      </c>
      <c r="I20" s="150">
        <f>+'Estados Financieros'!F9</f>
        <v>2019</v>
      </c>
      <c r="J20" s="150">
        <f>+'Estados Financieros'!G9</f>
        <v>2020</v>
      </c>
      <c r="K20" s="151">
        <f>F20</f>
        <v>2016</v>
      </c>
      <c r="L20" s="152">
        <f>K20+1</f>
        <v>2017</v>
      </c>
      <c r="M20" s="152">
        <f>L20+1</f>
        <v>2018</v>
      </c>
      <c r="N20" s="152">
        <f>M20+1</f>
        <v>2019</v>
      </c>
      <c r="O20" s="153">
        <f>N20+1</f>
        <v>2020</v>
      </c>
    </row>
    <row r="21" spans="1:15">
      <c r="A21" s="522" t="s">
        <v>210</v>
      </c>
      <c r="B21" s="523"/>
      <c r="C21" s="523"/>
      <c r="D21" s="523"/>
      <c r="E21" s="523"/>
      <c r="F21" s="154"/>
      <c r="G21" s="154"/>
      <c r="H21" s="154"/>
      <c r="I21" s="154"/>
      <c r="J21" s="154"/>
      <c r="K21" s="524" t="s">
        <v>211</v>
      </c>
      <c r="L21" s="525"/>
      <c r="M21" s="525"/>
      <c r="N21" s="525"/>
      <c r="O21" s="526"/>
    </row>
    <row r="22" spans="1:15" ht="15.75">
      <c r="A22" s="527" t="s">
        <v>79</v>
      </c>
      <c r="B22" s="527"/>
      <c r="C22" s="527"/>
      <c r="D22" s="527"/>
      <c r="E22" s="527"/>
      <c r="F22" s="155">
        <f>+'Estados Financieros'!C12</f>
        <v>577436825.11000001</v>
      </c>
      <c r="G22" s="155">
        <f>+'Estados Financieros'!D12</f>
        <v>635552182.89999998</v>
      </c>
      <c r="H22" s="155">
        <f>+'Estados Financieros'!E12</f>
        <v>923368854.54000008</v>
      </c>
      <c r="I22" s="155">
        <f>+'Estados Financieros'!F12</f>
        <v>6525458484.6300001</v>
      </c>
      <c r="J22" s="155">
        <f>+'Estados Financieros'!G12</f>
        <v>20263865147.600002</v>
      </c>
      <c r="K22" s="156">
        <f t="shared" ref="K22:O27" si="0">+F22/F$36</f>
        <v>1.8234701846721761E-2</v>
      </c>
      <c r="L22" s="156">
        <f t="shared" si="0"/>
        <v>1.8779054526280509E-2</v>
      </c>
      <c r="M22" s="156">
        <f t="shared" si="0"/>
        <v>2.104407240175718E-2</v>
      </c>
      <c r="N22" s="156">
        <f t="shared" si="0"/>
        <v>0.10337265724107879</v>
      </c>
      <c r="O22" s="156">
        <f t="shared" si="0"/>
        <v>0.22505412983985768</v>
      </c>
    </row>
    <row r="23" spans="1:15" ht="15.75">
      <c r="A23" s="527" t="s">
        <v>80</v>
      </c>
      <c r="B23" s="527"/>
      <c r="C23" s="527"/>
      <c r="D23" s="527"/>
      <c r="E23" s="527"/>
      <c r="F23" s="155">
        <f>+'Estados Financieros'!C13</f>
        <v>0</v>
      </c>
      <c r="G23" s="155">
        <f>+'Estados Financieros'!D13</f>
        <v>0</v>
      </c>
      <c r="H23" s="155">
        <f>+'Estados Financieros'!E13</f>
        <v>0</v>
      </c>
      <c r="I23" s="155">
        <f>+'Estados Financieros'!F13</f>
        <v>0</v>
      </c>
      <c r="J23" s="155">
        <f>+'Estados Financieros'!G13</f>
        <v>0</v>
      </c>
      <c r="K23" s="156">
        <f t="shared" si="0"/>
        <v>0</v>
      </c>
      <c r="L23" s="156">
        <f t="shared" si="0"/>
        <v>0</v>
      </c>
      <c r="M23" s="156">
        <f t="shared" si="0"/>
        <v>0</v>
      </c>
      <c r="N23" s="156">
        <f t="shared" si="0"/>
        <v>0</v>
      </c>
      <c r="O23" s="156">
        <f t="shared" si="0"/>
        <v>0</v>
      </c>
    </row>
    <row r="24" spans="1:15" ht="15.75">
      <c r="A24" s="527" t="s">
        <v>81</v>
      </c>
      <c r="B24" s="527"/>
      <c r="C24" s="527"/>
      <c r="D24" s="527"/>
      <c r="E24" s="527"/>
      <c r="F24" s="155">
        <f>+'Estados Financieros'!C14</f>
        <v>11385509735.380001</v>
      </c>
      <c r="G24" s="155">
        <f>+'Estados Financieros'!D14</f>
        <v>10694903131.379997</v>
      </c>
      <c r="H24" s="155">
        <f>+'Estados Financieros'!E14</f>
        <v>20055814840.639999</v>
      </c>
      <c r="I24" s="155">
        <f>+'Estados Financieros'!F14</f>
        <v>25868895297.710007</v>
      </c>
      <c r="J24" s="155">
        <f>+'Estados Financieros'!G14</f>
        <v>22731466212.569992</v>
      </c>
      <c r="K24" s="156">
        <f t="shared" si="0"/>
        <v>0.35953954851780184</v>
      </c>
      <c r="L24" s="156">
        <f t="shared" si="0"/>
        <v>0.31600893594770962</v>
      </c>
      <c r="M24" s="156">
        <f t="shared" si="0"/>
        <v>0.45708279796043411</v>
      </c>
      <c r="N24" s="156">
        <f t="shared" si="0"/>
        <v>0.40980054552705619</v>
      </c>
      <c r="O24" s="156">
        <f t="shared" si="0"/>
        <v>0.25245975095032486</v>
      </c>
    </row>
    <row r="25" spans="1:15" ht="15.75">
      <c r="A25" s="527" t="s">
        <v>82</v>
      </c>
      <c r="B25" s="527"/>
      <c r="C25" s="527"/>
      <c r="D25" s="527"/>
      <c r="E25" s="527"/>
      <c r="F25" s="155">
        <f>+'Estados Financieros'!C15</f>
        <v>2473248785.8400002</v>
      </c>
      <c r="G25" s="155">
        <f>+'Estados Financieros'!D15</f>
        <v>2535358837.8000007</v>
      </c>
      <c r="H25" s="155">
        <f>+'Estados Financieros'!E15</f>
        <v>2815452942.3699999</v>
      </c>
      <c r="I25" s="155">
        <f>+'Estados Financieros'!F15</f>
        <v>8577058239.7800007</v>
      </c>
      <c r="J25" s="155">
        <f>+'Estados Financieros'!G15</f>
        <v>21630543917.52</v>
      </c>
      <c r="K25" s="156">
        <f t="shared" si="0"/>
        <v>7.8101971057990272E-2</v>
      </c>
      <c r="L25" s="156">
        <f t="shared" si="0"/>
        <v>7.4913820044615873E-2</v>
      </c>
      <c r="M25" s="156">
        <f t="shared" si="0"/>
        <v>6.4165685545556739E-2</v>
      </c>
      <c r="N25" s="156">
        <f t="shared" si="0"/>
        <v>0.13587295109545419</v>
      </c>
      <c r="O25" s="156">
        <f t="shared" si="0"/>
        <v>0.24023270999199517</v>
      </c>
    </row>
    <row r="26" spans="1:15" ht="15.75">
      <c r="A26" s="527" t="s">
        <v>83</v>
      </c>
      <c r="B26" s="527"/>
      <c r="C26" s="527"/>
      <c r="D26" s="527"/>
      <c r="E26" s="527"/>
      <c r="F26" s="155">
        <f>+'Estados Financieros'!C16</f>
        <v>457414678.56999999</v>
      </c>
      <c r="G26" s="155">
        <f>+'Estados Financieros'!D16</f>
        <v>215298906.37</v>
      </c>
      <c r="H26" s="155">
        <f>+'Estados Financieros'!E16</f>
        <v>87286738.689999998</v>
      </c>
      <c r="I26" s="155">
        <f>+'Estados Financieros'!F16</f>
        <v>168328628.94</v>
      </c>
      <c r="J26" s="155">
        <f>+'Estados Financieros'!G16</f>
        <v>638885425.25999999</v>
      </c>
      <c r="K26" s="156">
        <f t="shared" si="0"/>
        <v>1.4444558991278602E-2</v>
      </c>
      <c r="L26" s="156">
        <f t="shared" si="0"/>
        <v>6.3615703178332862E-3</v>
      </c>
      <c r="M26" s="156">
        <f t="shared" si="0"/>
        <v>1.9893116815389044E-3</v>
      </c>
      <c r="N26" s="156">
        <f t="shared" si="0"/>
        <v>2.6665678287986203E-3</v>
      </c>
      <c r="O26" s="156">
        <f t="shared" si="0"/>
        <v>7.0955764066701803E-3</v>
      </c>
    </row>
    <row r="27" spans="1:15">
      <c r="A27" s="528" t="s">
        <v>212</v>
      </c>
      <c r="B27" s="528"/>
      <c r="C27" s="528"/>
      <c r="D27" s="528"/>
      <c r="E27" s="528"/>
      <c r="F27" s="157">
        <f>SUM(F22:F26)</f>
        <v>14893610024.900002</v>
      </c>
      <c r="G27" s="157">
        <f>SUM(G22:G26)</f>
        <v>14081113058.449999</v>
      </c>
      <c r="H27" s="157">
        <f>SUM(H22:H26)</f>
        <v>23881923376.239998</v>
      </c>
      <c r="I27" s="157">
        <f>SUM(I22:I26)</f>
        <v>41139740651.060013</v>
      </c>
      <c r="J27" s="157">
        <f>SUM(J22:J26)</f>
        <v>65264760702.950005</v>
      </c>
      <c r="K27" s="158">
        <f t="shared" si="0"/>
        <v>0.47032078041379249</v>
      </c>
      <c r="L27" s="158">
        <f t="shared" si="0"/>
        <v>0.41606338083643929</v>
      </c>
      <c r="M27" s="158">
        <f t="shared" si="0"/>
        <v>0.54428186758928687</v>
      </c>
      <c r="N27" s="158">
        <f t="shared" si="0"/>
        <v>0.65171272169238781</v>
      </c>
      <c r="O27" s="158">
        <f t="shared" si="0"/>
        <v>0.72484216718884797</v>
      </c>
    </row>
    <row r="28" spans="1:15">
      <c r="A28" s="529" t="s">
        <v>213</v>
      </c>
      <c r="B28" s="530"/>
      <c r="C28" s="530"/>
      <c r="D28" s="530"/>
      <c r="E28" s="530"/>
      <c r="F28" s="154"/>
      <c r="G28" s="154"/>
      <c r="H28" s="154"/>
      <c r="I28" s="154"/>
      <c r="J28" s="159"/>
      <c r="K28" s="154"/>
      <c r="L28" s="154"/>
      <c r="M28" s="159"/>
      <c r="N28" s="154"/>
      <c r="O28" s="159"/>
    </row>
    <row r="29" spans="1:15" ht="15.75">
      <c r="A29" s="516" t="s">
        <v>80</v>
      </c>
      <c r="B29" s="517"/>
      <c r="C29" s="517"/>
      <c r="D29" s="517"/>
      <c r="E29" s="518"/>
      <c r="F29" s="155">
        <f>+'Estados Financieros'!C20</f>
        <v>315198869.09000003</v>
      </c>
      <c r="G29" s="155">
        <f>+'Estados Financieros'!D20</f>
        <v>313443626.69999999</v>
      </c>
      <c r="H29" s="155">
        <f>+'Estados Financieros'!E20</f>
        <v>170681517.13999999</v>
      </c>
      <c r="I29" s="155">
        <f>+'Estados Financieros'!F20</f>
        <v>10683510</v>
      </c>
      <c r="J29" s="155">
        <f>+'Estados Financieros'!G20</f>
        <v>49683510</v>
      </c>
      <c r="K29" s="160">
        <f t="shared" ref="K29:K34" si="1">+F29/$F$36</f>
        <v>9.9535692050557074E-3</v>
      </c>
      <c r="L29" s="160">
        <f>+G29/$G$36</f>
        <v>9.2615132401182611E-3</v>
      </c>
      <c r="M29" s="160">
        <f>+H29/$H$36</f>
        <v>3.8899234977178036E-3</v>
      </c>
      <c r="N29" s="160">
        <f>+I29/$I$36</f>
        <v>1.6924217968176334E-4</v>
      </c>
      <c r="O29" s="160">
        <f>+J29/$J$36</f>
        <v>5.5179399532098499E-4</v>
      </c>
    </row>
    <row r="30" spans="1:15" ht="15.75">
      <c r="A30" s="527" t="s">
        <v>86</v>
      </c>
      <c r="B30" s="527"/>
      <c r="C30" s="527"/>
      <c r="D30" s="527"/>
      <c r="E30" s="527"/>
      <c r="F30" s="155">
        <f>+'Estados Financieros'!C21</f>
        <v>7434829283.1700001</v>
      </c>
      <c r="G30" s="155">
        <f>+'Estados Financieros'!D21</f>
        <v>11010424766.040001</v>
      </c>
      <c r="H30" s="155">
        <f>+'Estados Financieros'!E21</f>
        <v>11949162213.34</v>
      </c>
      <c r="I30" s="155">
        <f>+'Estados Financieros'!F21</f>
        <v>14026059862.77</v>
      </c>
      <c r="J30" s="155">
        <f>+'Estados Financieros'!G21</f>
        <v>16912503053.120003</v>
      </c>
      <c r="K30" s="160">
        <f t="shared" si="1"/>
        <v>0.23478221229492074</v>
      </c>
      <c r="L30" s="160">
        <f t="shared" ref="L30:L34" si="2">+G30/$G$36</f>
        <v>0.32533184937783099</v>
      </c>
      <c r="M30" s="160">
        <f t="shared" ref="M30:M34" si="3">+H30/$H$36</f>
        <v>0.27232782817126622</v>
      </c>
      <c r="N30" s="160">
        <f t="shared" ref="N30:N34" si="4">+I30/$I$36</f>
        <v>0.22219298184979369</v>
      </c>
      <c r="O30" s="160">
        <f t="shared" ref="O30:O34" si="5">+J30/$J$36</f>
        <v>0.18783329983246844</v>
      </c>
    </row>
    <row r="31" spans="1:15" ht="15.75">
      <c r="A31" s="527" t="s">
        <v>87</v>
      </c>
      <c r="B31" s="527"/>
      <c r="C31" s="527"/>
      <c r="D31" s="527"/>
      <c r="E31" s="527"/>
      <c r="F31" s="155">
        <f>+'Estados Financieros'!C22</f>
        <v>8863280753.7800007</v>
      </c>
      <c r="G31" s="155">
        <f>+'Estados Financieros'!D22</f>
        <v>8259711192.4274998</v>
      </c>
      <c r="H31" s="155">
        <f>+'Estados Financieros'!E22</f>
        <v>7857112029.8400002</v>
      </c>
      <c r="I31" s="155">
        <f>+'Estados Financieros'!F22</f>
        <v>7949091527.6599998</v>
      </c>
      <c r="J31" s="155">
        <f>+'Estados Financieros'!G22</f>
        <v>7813014062.4299994</v>
      </c>
      <c r="K31" s="160">
        <f t="shared" si="1"/>
        <v>0.27989084675743992</v>
      </c>
      <c r="L31" s="160">
        <f t="shared" si="2"/>
        <v>0.24405480938821808</v>
      </c>
      <c r="M31" s="160">
        <f t="shared" si="3"/>
        <v>0.17906780547308093</v>
      </c>
      <c r="N31" s="160">
        <f t="shared" si="4"/>
        <v>0.12592505427813672</v>
      </c>
      <c r="O31" s="160">
        <f t="shared" si="5"/>
        <v>8.6772738983362671E-2</v>
      </c>
    </row>
    <row r="32" spans="1:15" ht="15.75">
      <c r="A32" s="527" t="s">
        <v>88</v>
      </c>
      <c r="B32" s="527"/>
      <c r="C32" s="527"/>
      <c r="D32" s="527"/>
      <c r="E32" s="527"/>
      <c r="F32" s="155">
        <f>+'Estados Financieros'!C23</f>
        <v>160000000</v>
      </c>
      <c r="G32" s="155">
        <f>+'Estados Financieros'!D23</f>
        <v>160000000</v>
      </c>
      <c r="H32" s="155">
        <f>+'Estados Financieros'!E23</f>
        <v>0</v>
      </c>
      <c r="I32" s="155">
        <f>+'Estados Financieros'!F23</f>
        <v>0</v>
      </c>
      <c r="J32" s="155">
        <f>+'Estados Financieros'!G23</f>
        <v>0</v>
      </c>
      <c r="K32" s="160">
        <f t="shared" si="1"/>
        <v>5.052591328791157E-3</v>
      </c>
      <c r="L32" s="160">
        <f t="shared" si="2"/>
        <v>4.7276192341827632E-3</v>
      </c>
      <c r="M32" s="160">
        <f t="shared" si="3"/>
        <v>0</v>
      </c>
      <c r="N32" s="160">
        <f t="shared" si="4"/>
        <v>0</v>
      </c>
      <c r="O32" s="160">
        <f t="shared" si="5"/>
        <v>0</v>
      </c>
    </row>
    <row r="33" spans="1:16" ht="15.75">
      <c r="A33" s="527" t="s">
        <v>89</v>
      </c>
      <c r="B33" s="527"/>
      <c r="C33" s="527"/>
      <c r="D33" s="527"/>
      <c r="E33" s="527"/>
      <c r="F33" s="155">
        <f>+'Estados Financieros'!C24</f>
        <v>0</v>
      </c>
      <c r="G33" s="155">
        <f>+'Estados Financieros'!D24</f>
        <v>18980476.91</v>
      </c>
      <c r="H33" s="155">
        <f>+'Estados Financieros'!E24</f>
        <v>18980476.91</v>
      </c>
      <c r="I33" s="155">
        <f>+'Estados Financieros'!F24</f>
        <v>0</v>
      </c>
      <c r="J33" s="155">
        <f>+'Estados Financieros'!G24</f>
        <v>0</v>
      </c>
      <c r="K33" s="160">
        <f t="shared" si="1"/>
        <v>0</v>
      </c>
      <c r="L33" s="160">
        <f t="shared" si="2"/>
        <v>5.6082792321048632E-4</v>
      </c>
      <c r="M33" s="160">
        <f t="shared" si="3"/>
        <v>4.3257526864809085E-4</v>
      </c>
      <c r="N33" s="160">
        <f t="shared" si="4"/>
        <v>0</v>
      </c>
      <c r="O33" s="160">
        <f t="shared" si="5"/>
        <v>0</v>
      </c>
    </row>
    <row r="34" spans="1:16">
      <c r="A34" s="527" t="s">
        <v>214</v>
      </c>
      <c r="B34" s="527"/>
      <c r="C34" s="527"/>
      <c r="D34" s="527"/>
      <c r="E34" s="527"/>
      <c r="F34" s="157">
        <f>SUM(F29:F33)</f>
        <v>16773308906.040001</v>
      </c>
      <c r="G34" s="157">
        <f>SUM(G29:G33)</f>
        <v>19762560062.077503</v>
      </c>
      <c r="H34" s="157">
        <f>SUM(H29:H33)</f>
        <v>19995936237.23</v>
      </c>
      <c r="I34" s="157">
        <f>SUM(I29:I33)</f>
        <v>21985834900.43</v>
      </c>
      <c r="J34" s="157">
        <f>SUM(J29:J33)</f>
        <v>24775200625.550003</v>
      </c>
      <c r="K34" s="161">
        <f t="shared" si="1"/>
        <v>0.52967921958620745</v>
      </c>
      <c r="L34" s="161">
        <f t="shared" si="2"/>
        <v>0.58393661916356066</v>
      </c>
      <c r="M34" s="161">
        <f t="shared" si="3"/>
        <v>0.45571813241071302</v>
      </c>
      <c r="N34" s="161">
        <f t="shared" si="4"/>
        <v>0.34828727830761214</v>
      </c>
      <c r="O34" s="161">
        <f t="shared" si="5"/>
        <v>0.27515783281115208</v>
      </c>
    </row>
    <row r="35" spans="1:16">
      <c r="A35" s="162"/>
      <c r="B35" s="162"/>
      <c r="C35" s="162"/>
      <c r="D35" s="162"/>
      <c r="E35" s="162"/>
      <c r="F35" s="15"/>
      <c r="G35" s="15"/>
      <c r="H35" s="15"/>
      <c r="I35" s="15"/>
      <c r="J35" s="15"/>
    </row>
    <row r="36" spans="1:16">
      <c r="A36" s="531" t="s">
        <v>215</v>
      </c>
      <c r="B36" s="531"/>
      <c r="C36" s="531"/>
      <c r="D36" s="531"/>
      <c r="E36" s="531"/>
      <c r="F36" s="163">
        <f>F27+F34</f>
        <v>31666918930.940002</v>
      </c>
      <c r="G36" s="163">
        <f>G27+G34</f>
        <v>33843673120.527504</v>
      </c>
      <c r="H36" s="163">
        <f>H27+H34</f>
        <v>43877859613.470001</v>
      </c>
      <c r="I36" s="163">
        <f>I27+I34</f>
        <v>63125575551.490013</v>
      </c>
      <c r="J36" s="163">
        <f>J27+J34</f>
        <v>90039961328.5</v>
      </c>
    </row>
    <row r="37" spans="1:16">
      <c r="A37" s="164"/>
    </row>
    <row r="38" spans="1:16">
      <c r="A38" s="529" t="s">
        <v>216</v>
      </c>
      <c r="B38" s="530"/>
      <c r="C38" s="530"/>
      <c r="D38" s="530"/>
      <c r="E38" s="530"/>
      <c r="F38" s="154"/>
      <c r="G38" s="154"/>
      <c r="H38" s="154"/>
      <c r="I38" s="154"/>
      <c r="J38" s="159"/>
    </row>
    <row r="39" spans="1:16" ht="15.75">
      <c r="A39" s="527" t="s">
        <v>94</v>
      </c>
      <c r="B39" s="527"/>
      <c r="C39" s="527"/>
      <c r="D39" s="527"/>
      <c r="E39" s="527"/>
      <c r="F39" s="155">
        <f>+'Estados Financieros'!C30</f>
        <v>1455671763.8599999</v>
      </c>
      <c r="G39" s="155">
        <f>+'Estados Financieros'!D30</f>
        <v>329220969.63999999</v>
      </c>
      <c r="H39" s="155">
        <f>+'Estados Financieros'!E30</f>
        <v>485354357.98000002</v>
      </c>
      <c r="I39" s="155">
        <f>+'Estados Financieros'!F30</f>
        <v>570874052.06000006</v>
      </c>
      <c r="J39" s="155">
        <f>+'Estados Financieros'!G30</f>
        <v>0</v>
      </c>
      <c r="K39" s="165">
        <f t="shared" ref="K39:O44" si="6">+F39/F$52</f>
        <v>5.2806869867851054E-2</v>
      </c>
      <c r="L39" s="160">
        <f t="shared" si="6"/>
        <v>1.1919886960673864E-2</v>
      </c>
      <c r="M39" s="160">
        <f t="shared" si="6"/>
        <v>1.3727464585926512E-2</v>
      </c>
      <c r="N39" s="160">
        <f t="shared" si="6"/>
        <v>1.0731316143602775E-2</v>
      </c>
      <c r="O39" s="160">
        <f t="shared" si="6"/>
        <v>0</v>
      </c>
    </row>
    <row r="40" spans="1:16" ht="15.75">
      <c r="A40" s="527" t="s">
        <v>178</v>
      </c>
      <c r="B40" s="527"/>
      <c r="C40" s="527"/>
      <c r="D40" s="527"/>
      <c r="E40" s="527"/>
      <c r="F40" s="155">
        <f>+'Estados Financieros'!C31</f>
        <v>4434916898</v>
      </c>
      <c r="G40" s="155">
        <f>+'Estados Financieros'!D31</f>
        <v>4724854964.2700005</v>
      </c>
      <c r="H40" s="155">
        <f>+'Estados Financieros'!E31</f>
        <v>12411325133.240004</v>
      </c>
      <c r="I40" s="155">
        <f>+'Estados Financieros'!F31</f>
        <v>31859233808.339993</v>
      </c>
      <c r="J40" s="155">
        <f>+'Estados Financieros'!G31</f>
        <v>57190679522.930008</v>
      </c>
      <c r="K40" s="165">
        <f t="shared" si="6"/>
        <v>0.16088385123745755</v>
      </c>
      <c r="L40" s="160">
        <f t="shared" si="6"/>
        <v>0.17106971388020106</v>
      </c>
      <c r="M40" s="160">
        <f t="shared" si="6"/>
        <v>0.35103429778618056</v>
      </c>
      <c r="N40" s="160">
        <f t="shared" si="6"/>
        <v>0.59889131211435898</v>
      </c>
      <c r="O40" s="160">
        <f t="shared" si="6"/>
        <v>0.71974586190485301</v>
      </c>
    </row>
    <row r="41" spans="1:16" ht="15.75">
      <c r="A41" s="527" t="s">
        <v>120</v>
      </c>
      <c r="B41" s="527"/>
      <c r="C41" s="527"/>
      <c r="D41" s="527"/>
      <c r="E41" s="527"/>
      <c r="F41" s="155">
        <f>+'Estados Financieros'!C32</f>
        <v>296129152.51999998</v>
      </c>
      <c r="G41" s="155">
        <f>+'Estados Financieros'!D32</f>
        <v>393856735.27000004</v>
      </c>
      <c r="H41" s="155">
        <f>+'Estados Financieros'!E32</f>
        <v>524505882.86000001</v>
      </c>
      <c r="I41" s="155">
        <f>+'Estados Financieros'!F32</f>
        <v>542258827.32999992</v>
      </c>
      <c r="J41" s="155">
        <f>+'Estados Financieros'!G32</f>
        <v>446532152.83000004</v>
      </c>
      <c r="K41" s="165">
        <f t="shared" si="6"/>
        <v>1.0742568489296202E-2</v>
      </c>
      <c r="L41" s="160">
        <f t="shared" si="6"/>
        <v>1.4260111584787847E-2</v>
      </c>
      <c r="M41" s="160">
        <f t="shared" si="6"/>
        <v>1.4834802271142821E-2</v>
      </c>
      <c r="N41" s="160">
        <f t="shared" si="6"/>
        <v>1.0193405860257829E-2</v>
      </c>
      <c r="O41" s="160">
        <f t="shared" si="6"/>
        <v>5.6196162012378276E-3</v>
      </c>
      <c r="P41" s="43"/>
    </row>
    <row r="42" spans="1:16" ht="15.75">
      <c r="A42" s="527" t="s">
        <v>95</v>
      </c>
      <c r="B42" s="527"/>
      <c r="C42" s="527"/>
      <c r="D42" s="527"/>
      <c r="E42" s="527"/>
      <c r="F42" s="155">
        <f>+'Estados Financieros'!C33</f>
        <v>1663303000</v>
      </c>
      <c r="G42" s="155">
        <f>+'Estados Financieros'!D33</f>
        <v>1698723388.7332048</v>
      </c>
      <c r="H42" s="155">
        <f>+'Estados Financieros'!E33</f>
        <v>1424459000</v>
      </c>
      <c r="I42" s="155">
        <f>+'Estados Financieros'!F33</f>
        <v>322691667.31</v>
      </c>
      <c r="J42" s="155">
        <f>+'Estados Financieros'!G33</f>
        <v>1833951727.4400001</v>
      </c>
      <c r="K42" s="165">
        <f t="shared" si="6"/>
        <v>6.0339031952435215E-2</v>
      </c>
      <c r="L42" s="160">
        <f t="shared" si="6"/>
        <v>6.1504559667916327E-2</v>
      </c>
      <c r="M42" s="160">
        <f t="shared" si="6"/>
        <v>4.0288523539764039E-2</v>
      </c>
      <c r="N42" s="160">
        <f t="shared" si="6"/>
        <v>6.0659724965848342E-3</v>
      </c>
      <c r="O42" s="160">
        <f t="shared" si="6"/>
        <v>2.3080319691409945E-2</v>
      </c>
    </row>
    <row r="43" spans="1:16" ht="15.75">
      <c r="A43" s="527" t="s">
        <v>96</v>
      </c>
      <c r="B43" s="527"/>
      <c r="C43" s="527"/>
      <c r="D43" s="527"/>
      <c r="E43" s="527"/>
      <c r="F43" s="155">
        <f>+'Estados Financieros'!C34</f>
        <v>46710300.189999998</v>
      </c>
      <c r="G43" s="155">
        <f>+'Estados Financieros'!D34</f>
        <v>213637756.61000001</v>
      </c>
      <c r="H43" s="155">
        <f>+'Estados Financieros'!E34</f>
        <v>158150755.53</v>
      </c>
      <c r="I43" s="155">
        <f>+'Estados Financieros'!F34</f>
        <v>45686502</v>
      </c>
      <c r="J43" s="155">
        <f>+'Estados Financieros'!G34</f>
        <v>29146643</v>
      </c>
      <c r="K43" s="165">
        <f t="shared" si="6"/>
        <v>1.6944924019690042E-3</v>
      </c>
      <c r="L43" s="160">
        <f t="shared" si="6"/>
        <v>7.7350416412046022E-3</v>
      </c>
      <c r="M43" s="160">
        <f t="shared" si="6"/>
        <v>4.4730388428181316E-3</v>
      </c>
      <c r="N43" s="160">
        <f t="shared" si="6"/>
        <v>8.5881692238100077E-4</v>
      </c>
      <c r="O43" s="160">
        <f t="shared" si="6"/>
        <v>3.668110933925356E-4</v>
      </c>
    </row>
    <row r="44" spans="1:16">
      <c r="A44" s="527" t="s">
        <v>217</v>
      </c>
      <c r="B44" s="527"/>
      <c r="C44" s="527"/>
      <c r="D44" s="527"/>
      <c r="E44" s="527"/>
      <c r="F44" s="157">
        <f>SUM(F39:F43)</f>
        <v>7896731114.5699987</v>
      </c>
      <c r="G44" s="157">
        <f>SUM(G39:G43)</f>
        <v>7360293814.5232058</v>
      </c>
      <c r="H44" s="157">
        <f>SUM(H39:H43)</f>
        <v>15003795129.610004</v>
      </c>
      <c r="I44" s="157">
        <f>SUM(I39:I43)</f>
        <v>33340744857.039997</v>
      </c>
      <c r="J44" s="157">
        <f>SUM(J39:J43)</f>
        <v>59500310046.200012</v>
      </c>
      <c r="K44" s="158">
        <f t="shared" si="6"/>
        <v>0.28646681394900897</v>
      </c>
      <c r="L44" s="161">
        <f t="shared" si="6"/>
        <v>0.26648931373478374</v>
      </c>
      <c r="M44" s="161">
        <f t="shared" si="6"/>
        <v>0.42435812702583209</v>
      </c>
      <c r="N44" s="161">
        <f t="shared" si="6"/>
        <v>0.62674082353718552</v>
      </c>
      <c r="O44" s="161">
        <f t="shared" si="6"/>
        <v>0.74881260889089341</v>
      </c>
    </row>
    <row r="45" spans="1:16">
      <c r="A45" s="529" t="s">
        <v>218</v>
      </c>
      <c r="B45" s="530"/>
      <c r="C45" s="530"/>
      <c r="D45" s="530"/>
      <c r="E45" s="530"/>
      <c r="F45" s="154"/>
      <c r="G45" s="154"/>
      <c r="H45" s="154"/>
      <c r="I45" s="154"/>
      <c r="J45" s="159"/>
      <c r="K45" s="154"/>
      <c r="L45" s="154"/>
      <c r="M45" s="154"/>
      <c r="N45" s="154"/>
      <c r="O45" s="159"/>
    </row>
    <row r="46" spans="1:16" ht="15.75">
      <c r="A46" s="527" t="s">
        <v>94</v>
      </c>
      <c r="B46" s="527"/>
      <c r="C46" s="527"/>
      <c r="D46" s="527"/>
      <c r="E46" s="527"/>
      <c r="F46" s="155">
        <f>+'Estados Financieros'!C38</f>
        <v>9317447893.4500008</v>
      </c>
      <c r="G46" s="155">
        <f>+'Estados Financieros'!D38</f>
        <v>9924850657.5</v>
      </c>
      <c r="H46" s="155">
        <f>+'Estados Financieros'!E38</f>
        <v>10003132713</v>
      </c>
      <c r="I46" s="155">
        <f>+'Estados Financieros'!F38</f>
        <v>9948757958.8699989</v>
      </c>
      <c r="J46" s="155">
        <f>+'Estados Financieros'!G38</f>
        <v>9976127172.5499992</v>
      </c>
      <c r="K46" s="165">
        <f>+F46/F$52</f>
        <v>0.33800563466670219</v>
      </c>
      <c r="L46" s="165">
        <f t="shared" ref="L46:O49" si="7">+G46/G$52</f>
        <v>0.35934253540512018</v>
      </c>
      <c r="M46" s="165">
        <f t="shared" si="7"/>
        <v>0.28292246233769047</v>
      </c>
      <c r="N46" s="165">
        <f t="shared" si="7"/>
        <v>0.18701720021704046</v>
      </c>
      <c r="O46" s="165">
        <f t="shared" si="7"/>
        <v>0.12554976283155661</v>
      </c>
    </row>
    <row r="47" spans="1:16" ht="15.75">
      <c r="A47" s="527" t="s">
        <v>99</v>
      </c>
      <c r="B47" s="527"/>
      <c r="C47" s="527"/>
      <c r="D47" s="527"/>
      <c r="E47" s="527"/>
      <c r="F47" s="155">
        <f>+'Estados Financieros'!C39</f>
        <v>421921000</v>
      </c>
      <c r="G47" s="155">
        <f>+'Estados Financieros'!D39</f>
        <v>421920000</v>
      </c>
      <c r="H47" s="155">
        <f>+'Estados Financieros'!E39</f>
        <v>304164000</v>
      </c>
      <c r="I47" s="155">
        <f>+'Estados Financieros'!F39</f>
        <v>186408000</v>
      </c>
      <c r="J47" s="155">
        <f>+'Estados Financieros'!G39</f>
        <v>68652000</v>
      </c>
      <c r="K47" s="165">
        <f t="shared" ref="K47:K49" si="8">+F47/F$52</f>
        <v>1.5305873133399879E-2</v>
      </c>
      <c r="L47" s="165">
        <f t="shared" si="7"/>
        <v>1.5276179740151248E-2</v>
      </c>
      <c r="M47" s="165">
        <f t="shared" si="7"/>
        <v>8.6027877769376225E-3</v>
      </c>
      <c r="N47" s="165">
        <f t="shared" si="7"/>
        <v>3.504105980081329E-3</v>
      </c>
      <c r="O47" s="165">
        <f t="shared" si="7"/>
        <v>8.6398681260083207E-4</v>
      </c>
    </row>
    <row r="48" spans="1:16" ht="15.75">
      <c r="A48" s="527" t="s">
        <v>156</v>
      </c>
      <c r="B48" s="527"/>
      <c r="C48" s="527"/>
      <c r="D48" s="527"/>
      <c r="E48" s="527"/>
      <c r="F48" s="155">
        <f>+'Estados Financieros'!C40</f>
        <v>9842933055.1399994</v>
      </c>
      <c r="G48" s="155">
        <f>+'Estados Financieros'!D40</f>
        <v>9747490312.4000015</v>
      </c>
      <c r="H48" s="155">
        <f>+'Estados Financieros'!E40</f>
        <v>9788764756.1799984</v>
      </c>
      <c r="I48" s="155">
        <f>+'Estados Financieros'!F40</f>
        <v>9694556162.0400009</v>
      </c>
      <c r="J48" s="155">
        <f>+'Estados Financieros'!G40</f>
        <v>9914456921.0100002</v>
      </c>
      <c r="K48" s="165">
        <f t="shared" si="8"/>
        <v>0.35706846685166393</v>
      </c>
      <c r="L48" s="165">
        <f t="shared" si="7"/>
        <v>0.35292096612534479</v>
      </c>
      <c r="M48" s="165">
        <f t="shared" si="7"/>
        <v>0.2768594106987779</v>
      </c>
      <c r="N48" s="165">
        <f t="shared" si="7"/>
        <v>0.18223870339061984</v>
      </c>
      <c r="O48" s="165">
        <f t="shared" si="7"/>
        <v>0.12477364146494915</v>
      </c>
    </row>
    <row r="49" spans="1:15" ht="15.75">
      <c r="A49" s="527" t="s">
        <v>96</v>
      </c>
      <c r="B49" s="527"/>
      <c r="C49" s="527"/>
      <c r="D49" s="527"/>
      <c r="E49" s="527"/>
      <c r="F49" s="155">
        <f>+'Estados Financieros'!C41</f>
        <v>86921281.469999999</v>
      </c>
      <c r="G49" s="155">
        <f>+'Estados Financieros'!D41</f>
        <v>164915997.99000001</v>
      </c>
      <c r="H49" s="155">
        <f>+'Estados Financieros'!E41</f>
        <v>256589228.62</v>
      </c>
      <c r="I49" s="155">
        <f>+'Estados Financieros'!F41</f>
        <v>26554190.82</v>
      </c>
      <c r="J49" s="155">
        <f>+'Estados Financieros'!G41</f>
        <v>0</v>
      </c>
      <c r="K49" s="165">
        <f t="shared" si="8"/>
        <v>3.1532113992248827E-3</v>
      </c>
      <c r="L49" s="165">
        <f t="shared" si="7"/>
        <v>5.9710049946000718E-3</v>
      </c>
      <c r="M49" s="165">
        <f t="shared" si="7"/>
        <v>7.2572121607619227E-3</v>
      </c>
      <c r="N49" s="165">
        <f t="shared" si="7"/>
        <v>4.9916687507286562E-4</v>
      </c>
      <c r="O49" s="165">
        <f t="shared" si="7"/>
        <v>0</v>
      </c>
    </row>
    <row r="50" spans="1:15">
      <c r="A50" s="527" t="s">
        <v>219</v>
      </c>
      <c r="B50" s="527"/>
      <c r="C50" s="527"/>
      <c r="D50" s="527"/>
      <c r="E50" s="527"/>
      <c r="F50" s="157">
        <f>SUM(F46:F49)</f>
        <v>19669223230.060001</v>
      </c>
      <c r="G50" s="157">
        <f>SUM(G46:G49)</f>
        <v>20259176967.890003</v>
      </c>
      <c r="H50" s="157">
        <f>SUM(H46:H49)</f>
        <v>20352650697.799999</v>
      </c>
      <c r="I50" s="157">
        <f>SUM(I46:I49)</f>
        <v>19856276311.73</v>
      </c>
      <c r="J50" s="157">
        <f>SUM(J46:J49)</f>
        <v>19959236093.559998</v>
      </c>
      <c r="K50" s="161">
        <f>+F50/F$52</f>
        <v>0.71353318605099092</v>
      </c>
      <c r="L50" s="161">
        <f>+G50/G$52</f>
        <v>0.73351068626521632</v>
      </c>
      <c r="M50" s="161">
        <f>+H50/H$52</f>
        <v>0.57564187297416791</v>
      </c>
      <c r="N50" s="161">
        <f>+I50/I$52</f>
        <v>0.37325917646281453</v>
      </c>
      <c r="O50" s="161">
        <f>+J50/J$52</f>
        <v>0.25118739110910659</v>
      </c>
    </row>
    <row r="51" spans="1:15">
      <c r="A51" s="164"/>
      <c r="B51" s="164"/>
      <c r="C51" s="164"/>
      <c r="D51" s="164"/>
      <c r="E51" s="164"/>
    </row>
    <row r="52" spans="1:15">
      <c r="A52" s="531" t="s">
        <v>220</v>
      </c>
      <c r="B52" s="531"/>
      <c r="C52" s="531"/>
      <c r="D52" s="531"/>
      <c r="E52" s="531"/>
      <c r="F52" s="163">
        <f>F44+F50</f>
        <v>27565954344.630001</v>
      </c>
      <c r="G52" s="163">
        <f>G44+G50</f>
        <v>27619470782.413208</v>
      </c>
      <c r="H52" s="163">
        <f>H44+H50</f>
        <v>35356445827.410004</v>
      </c>
      <c r="I52" s="163">
        <f>I44+I50</f>
        <v>53197021168.769997</v>
      </c>
      <c r="J52" s="163">
        <f>J44+J50</f>
        <v>79459546139.76001</v>
      </c>
    </row>
    <row r="53" spans="1:15">
      <c r="A53" s="164"/>
    </row>
    <row r="54" spans="1:15">
      <c r="A54" s="529" t="s">
        <v>221</v>
      </c>
      <c r="B54" s="530"/>
      <c r="C54" s="530"/>
      <c r="D54" s="530"/>
      <c r="E54" s="530"/>
      <c r="F54" s="154"/>
      <c r="G54" s="154"/>
      <c r="H54" s="154"/>
      <c r="I54" s="154"/>
      <c r="J54" s="159"/>
      <c r="K54" s="154"/>
      <c r="L54" s="154"/>
      <c r="M54" s="154"/>
      <c r="N54" s="154"/>
      <c r="O54" s="159"/>
    </row>
    <row r="55" spans="1:15" ht="15.75">
      <c r="A55" s="527" t="s">
        <v>102</v>
      </c>
      <c r="B55" s="527"/>
      <c r="C55" s="527"/>
      <c r="D55" s="527"/>
      <c r="E55" s="527"/>
      <c r="F55" s="155">
        <f>+'Estados Financieros'!C46</f>
        <v>3000000000</v>
      </c>
      <c r="G55" s="155">
        <f>+'Estados Financieros'!D46</f>
        <v>3000000000</v>
      </c>
      <c r="H55" s="155">
        <f>+'Estados Financieros'!E46</f>
        <v>3000000000</v>
      </c>
      <c r="I55" s="155">
        <f>+'Estados Financieros'!F46</f>
        <v>3000000000</v>
      </c>
      <c r="J55" s="155">
        <f>+'Estados Financieros'!G46</f>
        <v>3000000000</v>
      </c>
      <c r="K55" s="165">
        <f>+F55/F$61</f>
        <v>0.73153521240038988</v>
      </c>
      <c r="L55" s="160">
        <f>+G55/G$61</f>
        <v>0.48198947222992877</v>
      </c>
      <c r="M55" s="160">
        <f>+H55/H$61</f>
        <v>0.35205425712453164</v>
      </c>
      <c r="N55" s="160">
        <f>+I55/I$61</f>
        <v>0.3021587921405956</v>
      </c>
      <c r="O55" s="160">
        <f>+J55/J$61</f>
        <v>0.28354274820360303</v>
      </c>
    </row>
    <row r="56" spans="1:15" ht="15.75">
      <c r="A56" s="527" t="s">
        <v>103</v>
      </c>
      <c r="B56" s="527"/>
      <c r="C56" s="527"/>
      <c r="D56" s="527"/>
      <c r="E56" s="527"/>
      <c r="F56" s="155">
        <f>+'Estados Financieros'!C47</f>
        <v>0</v>
      </c>
      <c r="G56" s="155">
        <f>+'Estados Financieros'!D47</f>
        <v>0</v>
      </c>
      <c r="H56" s="155">
        <f>+'Estados Financieros'!E47</f>
        <v>0</v>
      </c>
      <c r="I56" s="155">
        <f>+'Estados Financieros'!F47</f>
        <v>0</v>
      </c>
      <c r="J56" s="155">
        <f>+'Estados Financieros'!G47</f>
        <v>0</v>
      </c>
      <c r="K56" s="165">
        <f t="shared" ref="K56:O60" si="9">+F56/F$61</f>
        <v>0</v>
      </c>
      <c r="L56" s="160">
        <f t="shared" si="9"/>
        <v>0</v>
      </c>
      <c r="M56" s="160">
        <f t="shared" si="9"/>
        <v>0</v>
      </c>
      <c r="N56" s="160">
        <f t="shared" si="9"/>
        <v>0</v>
      </c>
      <c r="O56" s="160">
        <f t="shared" si="9"/>
        <v>0</v>
      </c>
    </row>
    <row r="57" spans="1:15" ht="15.75">
      <c r="A57" s="527" t="s">
        <v>157</v>
      </c>
      <c r="B57" s="527"/>
      <c r="C57" s="527"/>
      <c r="D57" s="527"/>
      <c r="E57" s="527"/>
      <c r="F57" s="155">
        <f>+'Estados Financieros'!C48</f>
        <v>-3713038753</v>
      </c>
      <c r="G57" s="155">
        <f>+'Estados Financieros'!D48</f>
        <v>-3713038753</v>
      </c>
      <c r="H57" s="155">
        <f>+'Estados Financieros'!E48</f>
        <v>-3713038753</v>
      </c>
      <c r="I57" s="155">
        <f>+'Estados Financieros'!F48</f>
        <v>-3713038753</v>
      </c>
      <c r="J57" s="155">
        <f>+'Estados Financieros'!G48</f>
        <v>-3713038753</v>
      </c>
      <c r="K57" s="165">
        <f t="shared" si="9"/>
        <v>-0.90540619760891128</v>
      </c>
      <c r="L57" s="160">
        <f t="shared" si="9"/>
        <v>-0.59654852964258098</v>
      </c>
      <c r="M57" s="160">
        <f t="shared" si="9"/>
        <v>-0.43573036662067077</v>
      </c>
      <c r="N57" s="160">
        <f t="shared" si="9"/>
        <v>-0.37397576825923445</v>
      </c>
      <c r="O57" s="160">
        <f t="shared" si="9"/>
        <v>-0.35093507073736635</v>
      </c>
    </row>
    <row r="58" spans="1:15" ht="15.75">
      <c r="A58" s="527" t="s">
        <v>104</v>
      </c>
      <c r="B58" s="527"/>
      <c r="C58" s="527"/>
      <c r="D58" s="527"/>
      <c r="E58" s="527"/>
      <c r="F58" s="155">
        <f>+'Estados Financieros'!C49</f>
        <v>493898943</v>
      </c>
      <c r="G58" s="155">
        <f>+'Estados Financieros'!D49</f>
        <v>493898943.99000001</v>
      </c>
      <c r="H58" s="155">
        <f>+'Estados Financieros'!E49</f>
        <v>493898943.99000001</v>
      </c>
      <c r="I58" s="155">
        <f>+'Estados Financieros'!F49</f>
        <v>493898943.99000001</v>
      </c>
      <c r="J58" s="155">
        <f>+'Estados Financieros'!G49</f>
        <v>493898943.99000001</v>
      </c>
      <c r="K58" s="165">
        <f t="shared" si="9"/>
        <v>0.12043482272394435</v>
      </c>
      <c r="L58" s="160">
        <f t="shared" si="9"/>
        <v>7.9351363782886417E-2</v>
      </c>
      <c r="M58" s="160">
        <f t="shared" si="9"/>
        <v>5.7959741940330038E-2</v>
      </c>
      <c r="N58" s="160">
        <f t="shared" si="9"/>
        <v>4.9745302785178025E-2</v>
      </c>
      <c r="O58" s="160">
        <f t="shared" si="9"/>
        <v>4.6680487971260669E-2</v>
      </c>
    </row>
    <row r="59" spans="1:15" ht="15.75">
      <c r="A59" s="527" t="s">
        <v>105</v>
      </c>
      <c r="B59" s="527"/>
      <c r="C59" s="527"/>
      <c r="D59" s="527"/>
      <c r="E59" s="527"/>
      <c r="F59" s="155">
        <f>+'Estados Financieros'!C50</f>
        <v>1664069505.5899968</v>
      </c>
      <c r="G59" s="155">
        <f>+'Estados Financieros'!D50</f>
        <v>2123237759.9743004</v>
      </c>
      <c r="H59" s="155">
        <f>+'Estados Financieros'!E50</f>
        <v>2297211449</v>
      </c>
      <c r="I59" s="155">
        <f>+'Estados Financieros'!F50</f>
        <v>1407140597</v>
      </c>
      <c r="J59" s="155">
        <f>+'Estados Financieros'!G50</f>
        <v>651860806.84999895</v>
      </c>
      <c r="K59" s="165">
        <f t="shared" si="9"/>
        <v>0.40577514640693002</v>
      </c>
      <c r="L59" s="160">
        <f t="shared" si="9"/>
        <v>0.34112608244955639</v>
      </c>
      <c r="M59" s="160">
        <f t="shared" si="9"/>
        <v>0.26958102337855466</v>
      </c>
      <c r="N59" s="160">
        <f t="shared" si="9"/>
        <v>0.1417266343871722</v>
      </c>
      <c r="O59" s="160">
        <f t="shared" si="9"/>
        <v>6.1610134873488917E-2</v>
      </c>
    </row>
    <row r="60" spans="1:15" ht="15.75">
      <c r="A60" s="527" t="s">
        <v>155</v>
      </c>
      <c r="B60" s="527"/>
      <c r="C60" s="527"/>
      <c r="D60" s="527"/>
      <c r="E60" s="527"/>
      <c r="F60" s="155">
        <f>+'Estados Financieros'!C51</f>
        <v>2656034891.1399927</v>
      </c>
      <c r="G60" s="155">
        <f>+'Estados Financieros'!D51</f>
        <v>4320104387.1499996</v>
      </c>
      <c r="H60" s="155">
        <f>+'Estados Financieros'!E51</f>
        <v>6443342145.7799997</v>
      </c>
      <c r="I60" s="155">
        <f>+'Estados Financieros'!F51</f>
        <v>8740553594.7800007</v>
      </c>
      <c r="J60" s="155">
        <f>+'Estados Financieros'!G51</f>
        <v>10147694191.780001</v>
      </c>
      <c r="K60" s="165">
        <f t="shared" si="9"/>
        <v>0.64766101607764703</v>
      </c>
      <c r="L60" s="160">
        <f t="shared" si="9"/>
        <v>0.69408161118020939</v>
      </c>
      <c r="M60" s="160">
        <f t="shared" si="9"/>
        <v>0.75613534417725448</v>
      </c>
      <c r="N60" s="160">
        <f t="shared" si="9"/>
        <v>0.88034503894628857</v>
      </c>
      <c r="O60" s="160">
        <f t="shared" si="9"/>
        <v>0.95910169968901382</v>
      </c>
    </row>
    <row r="61" spans="1:15">
      <c r="A61" s="527" t="s">
        <v>222</v>
      </c>
      <c r="B61" s="527"/>
      <c r="C61" s="527"/>
      <c r="D61" s="527"/>
      <c r="E61" s="527"/>
      <c r="F61" s="157">
        <f>SUM(F55:F60)</f>
        <v>4100964586.7299895</v>
      </c>
      <c r="G61" s="157">
        <f t="shared" ref="G61:J61" si="10">SUM(G55:G60)</f>
        <v>6224202338.1142998</v>
      </c>
      <c r="H61" s="157">
        <f t="shared" si="10"/>
        <v>8521413785.7699995</v>
      </c>
      <c r="I61" s="157">
        <f t="shared" si="10"/>
        <v>9928554382.7700005</v>
      </c>
      <c r="J61" s="157">
        <f t="shared" si="10"/>
        <v>10580415189.619999</v>
      </c>
      <c r="K61" s="158">
        <f>+F61/F$61</f>
        <v>1</v>
      </c>
      <c r="L61" s="161">
        <f>+G61/G$61</f>
        <v>1</v>
      </c>
      <c r="M61" s="161">
        <f>+H61/H$61</f>
        <v>1</v>
      </c>
      <c r="N61" s="161">
        <f>+I61/I$61</f>
        <v>1</v>
      </c>
      <c r="O61" s="161">
        <f>+J61/J$61</f>
        <v>1</v>
      </c>
    </row>
    <row r="62" spans="1:15">
      <c r="A62" s="162"/>
      <c r="B62" s="162"/>
      <c r="C62" s="162"/>
      <c r="D62" s="162"/>
      <c r="E62" s="162"/>
      <c r="F62" s="15"/>
      <c r="G62" s="15"/>
      <c r="H62" s="15"/>
      <c r="I62" s="15"/>
      <c r="J62" s="15"/>
    </row>
    <row r="63" spans="1:15">
      <c r="A63" s="531" t="s">
        <v>223</v>
      </c>
      <c r="B63" s="531"/>
      <c r="C63" s="531"/>
      <c r="D63" s="531"/>
      <c r="E63" s="531"/>
      <c r="F63" s="163">
        <f>F52+F61</f>
        <v>31666918931.359989</v>
      </c>
      <c r="G63" s="163">
        <f>G52+G61</f>
        <v>33843673120.527508</v>
      </c>
      <c r="H63" s="163">
        <f>H52+H61</f>
        <v>43877859613.18</v>
      </c>
      <c r="I63" s="163">
        <f>I52+I61</f>
        <v>63125575551.539993</v>
      </c>
      <c r="J63" s="163">
        <f>J52+J61</f>
        <v>90039961329.380005</v>
      </c>
    </row>
    <row r="65" spans="1:22" ht="15.75">
      <c r="A65" s="534" t="s">
        <v>224</v>
      </c>
      <c r="B65" s="535"/>
      <c r="C65" s="535"/>
      <c r="D65" s="535"/>
      <c r="E65" s="536"/>
      <c r="F65" s="166">
        <f>F63-F36</f>
        <v>0.41998672485351563</v>
      </c>
      <c r="G65" s="166">
        <f>G63-G36</f>
        <v>0</v>
      </c>
      <c r="H65" s="166">
        <f>H63-H36</f>
        <v>-0.29000091552734375</v>
      </c>
      <c r="I65" s="166">
        <f>I63-I36</f>
        <v>4.998016357421875E-2</v>
      </c>
      <c r="J65" s="166">
        <f>J63-J36</f>
        <v>0.8800048828125</v>
      </c>
    </row>
    <row r="66" spans="1:22" ht="15.75" thickBot="1"/>
    <row r="67" spans="1:22" ht="23.25">
      <c r="A67" s="537" t="str">
        <f>A16</f>
        <v>FARMACÉUTICAS SAS</v>
      </c>
      <c r="B67" s="538"/>
      <c r="C67" s="538"/>
      <c r="D67" s="538"/>
      <c r="E67" s="538"/>
      <c r="F67" s="538"/>
      <c r="G67" s="538"/>
      <c r="H67" s="538"/>
      <c r="I67" s="538"/>
      <c r="J67" s="538"/>
    </row>
    <row r="68" spans="1:22">
      <c r="A68" s="494" t="s">
        <v>225</v>
      </c>
      <c r="B68" s="495"/>
      <c r="C68" s="495"/>
      <c r="D68" s="495"/>
      <c r="E68" s="495"/>
      <c r="F68" s="495"/>
      <c r="G68" s="495"/>
      <c r="H68" s="495"/>
      <c r="I68" s="495"/>
      <c r="J68" s="495"/>
    </row>
    <row r="69" spans="1:22" ht="15.75" thickBot="1">
      <c r="A69" s="494" t="s">
        <v>207</v>
      </c>
      <c r="B69" s="495"/>
      <c r="C69" s="495"/>
      <c r="D69" s="495"/>
      <c r="E69" s="495"/>
      <c r="F69" s="495"/>
      <c r="G69" s="495"/>
      <c r="H69" s="495"/>
      <c r="I69" s="495"/>
      <c r="J69" s="495"/>
    </row>
    <row r="70" spans="1:22" ht="45" customHeight="1" thickBot="1">
      <c r="A70" s="519" t="s">
        <v>208</v>
      </c>
      <c r="B70" s="520"/>
      <c r="C70" s="520"/>
      <c r="D70" s="520"/>
      <c r="E70" s="520"/>
      <c r="F70" s="520"/>
      <c r="G70" s="520"/>
      <c r="H70" s="520"/>
      <c r="I70" s="520"/>
      <c r="J70" s="520"/>
      <c r="R70" s="532" t="s">
        <v>226</v>
      </c>
      <c r="S70" s="533"/>
    </row>
    <row r="71" spans="1:22" ht="15.75" thickBot="1">
      <c r="A71" s="521" t="s">
        <v>227</v>
      </c>
      <c r="B71" s="521"/>
      <c r="C71" s="521"/>
      <c r="D71" s="521"/>
      <c r="E71" s="521"/>
      <c r="F71" s="167">
        <f t="shared" ref="F71:O71" si="11">F20</f>
        <v>2016</v>
      </c>
      <c r="G71" s="167">
        <f t="shared" si="11"/>
        <v>2017</v>
      </c>
      <c r="H71" s="167">
        <f t="shared" si="11"/>
        <v>2018</v>
      </c>
      <c r="I71" s="167">
        <f t="shared" si="11"/>
        <v>2019</v>
      </c>
      <c r="J71" s="168">
        <f t="shared" si="11"/>
        <v>2020</v>
      </c>
      <c r="K71" s="169">
        <f t="shared" si="11"/>
        <v>2016</v>
      </c>
      <c r="L71" s="170">
        <f t="shared" si="11"/>
        <v>2017</v>
      </c>
      <c r="M71" s="170">
        <f t="shared" si="11"/>
        <v>2018</v>
      </c>
      <c r="N71" s="170">
        <f t="shared" si="11"/>
        <v>2019</v>
      </c>
      <c r="O71" s="171">
        <f t="shared" si="11"/>
        <v>2020</v>
      </c>
      <c r="P71" s="172" t="s">
        <v>228</v>
      </c>
      <c r="R71" s="172" t="s">
        <v>229</v>
      </c>
      <c r="S71" s="172" t="s">
        <v>230</v>
      </c>
    </row>
    <row r="72" spans="1:22" ht="15.75" thickBot="1">
      <c r="A72" s="529" t="s">
        <v>231</v>
      </c>
      <c r="B72" s="530"/>
      <c r="C72" s="530"/>
      <c r="D72" s="530"/>
      <c r="E72" s="530"/>
      <c r="F72" s="154"/>
      <c r="G72" s="154"/>
      <c r="H72" s="154"/>
      <c r="I72" s="154"/>
      <c r="J72" s="154"/>
      <c r="K72" s="544" t="s">
        <v>232</v>
      </c>
      <c r="L72" s="545"/>
      <c r="M72" s="545"/>
      <c r="N72" s="545"/>
      <c r="O72" s="545"/>
      <c r="P72" s="173"/>
      <c r="R72" s="546"/>
      <c r="S72" s="547"/>
    </row>
    <row r="73" spans="1:22" ht="15.75">
      <c r="A73" s="516" t="s">
        <v>111</v>
      </c>
      <c r="B73" s="517"/>
      <c r="C73" s="517"/>
      <c r="D73" s="517"/>
      <c r="E73" s="518"/>
      <c r="F73" s="155">
        <f>+'Estados Financieros'!C61</f>
        <v>23022505394.929996</v>
      </c>
      <c r="G73" s="155">
        <f>+'Estados Financieros'!D61</f>
        <v>26779815999</v>
      </c>
      <c r="H73" s="155">
        <f>+'Estados Financieros'!E61</f>
        <v>32806589929.220009</v>
      </c>
      <c r="I73" s="155">
        <f>+'Estados Financieros'!F61</f>
        <v>48267951070.199997</v>
      </c>
      <c r="J73" s="155">
        <f>+'Estados Financieros'!G61</f>
        <v>51117452420.909996</v>
      </c>
      <c r="K73" s="158">
        <f t="shared" ref="K73:O78" si="12">+F73/F$73</f>
        <v>1</v>
      </c>
      <c r="L73" s="161">
        <f t="shared" si="12"/>
        <v>1</v>
      </c>
      <c r="M73" s="161">
        <f t="shared" si="12"/>
        <v>1</v>
      </c>
      <c r="N73" s="161">
        <f t="shared" si="12"/>
        <v>1</v>
      </c>
      <c r="O73" s="161">
        <f t="shared" si="12"/>
        <v>1</v>
      </c>
      <c r="P73" s="174">
        <f>AVERAGE(K73:O73)</f>
        <v>1</v>
      </c>
      <c r="R73" s="175" t="s">
        <v>17</v>
      </c>
      <c r="S73" s="176">
        <f>+P73</f>
        <v>1</v>
      </c>
      <c r="T73" s="118"/>
    </row>
    <row r="74" spans="1:22" ht="15.75">
      <c r="A74" s="516" t="s">
        <v>112</v>
      </c>
      <c r="B74" s="517"/>
      <c r="C74" s="517"/>
      <c r="D74" s="517"/>
      <c r="E74" s="518"/>
      <c r="F74" s="155">
        <f>+'Estados Financieros'!C62</f>
        <v>5615237133.5900002</v>
      </c>
      <c r="G74" s="155">
        <f>+'Estados Financieros'!D62</f>
        <v>7173321978.9700012</v>
      </c>
      <c r="H74" s="155">
        <f>+'Estados Financieros'!E62</f>
        <v>11184452872.790001</v>
      </c>
      <c r="I74" s="155">
        <f>+'Estados Financieros'!F62</f>
        <v>25967121899.380001</v>
      </c>
      <c r="J74" s="155">
        <f>+'Estados Financieros'!G62</f>
        <v>32551649042.330002</v>
      </c>
      <c r="K74" s="165">
        <f t="shared" si="12"/>
        <v>0.24390208785993311</v>
      </c>
      <c r="L74" s="160">
        <f t="shared" si="12"/>
        <v>0.26786300470615126</v>
      </c>
      <c r="M74" s="160">
        <f t="shared" si="12"/>
        <v>0.34092092158680254</v>
      </c>
      <c r="N74" s="160">
        <f t="shared" si="12"/>
        <v>0.53797854111548904</v>
      </c>
      <c r="O74" s="160">
        <f t="shared" si="12"/>
        <v>0.63680108261839929</v>
      </c>
      <c r="P74" s="177">
        <f t="shared" ref="P74:P86" si="13">AVERAGE(K74:O74)</f>
        <v>0.40549312757735506</v>
      </c>
      <c r="Q74" s="118"/>
      <c r="R74" s="175" t="s">
        <v>233</v>
      </c>
      <c r="S74" s="176">
        <f>+P74</f>
        <v>0.40549312757735506</v>
      </c>
      <c r="T74" s="118"/>
      <c r="U74" s="118">
        <f>+S74-40%</f>
        <v>5.4931275773550392E-3</v>
      </c>
      <c r="V74" s="2" t="s">
        <v>234</v>
      </c>
    </row>
    <row r="75" spans="1:22">
      <c r="A75" s="528" t="s">
        <v>235</v>
      </c>
      <c r="B75" s="528"/>
      <c r="C75" s="528"/>
      <c r="D75" s="528"/>
      <c r="E75" s="528"/>
      <c r="F75" s="178">
        <f>F73-F74</f>
        <v>17407268261.339996</v>
      </c>
      <c r="G75" s="178">
        <f>G73-G74</f>
        <v>19606494020.029999</v>
      </c>
      <c r="H75" s="178">
        <f>H73-H74</f>
        <v>21622137056.430008</v>
      </c>
      <c r="I75" s="178">
        <f>I73-I74</f>
        <v>22300829170.819996</v>
      </c>
      <c r="J75" s="178">
        <f>J73-J74</f>
        <v>18565803378.579994</v>
      </c>
      <c r="K75" s="158">
        <f t="shared" si="12"/>
        <v>0.75609791214006683</v>
      </c>
      <c r="L75" s="161">
        <f t="shared" si="12"/>
        <v>0.73213699529384879</v>
      </c>
      <c r="M75" s="161">
        <f t="shared" si="12"/>
        <v>0.65907907841319746</v>
      </c>
      <c r="N75" s="161">
        <f t="shared" si="12"/>
        <v>0.46202145888451096</v>
      </c>
      <c r="O75" s="161">
        <f t="shared" si="12"/>
        <v>0.36319891738160071</v>
      </c>
      <c r="P75" s="174">
        <f t="shared" si="13"/>
        <v>0.59450687242264488</v>
      </c>
      <c r="R75" s="179" t="s">
        <v>236</v>
      </c>
      <c r="S75" s="180">
        <v>0.46010000000000001</v>
      </c>
      <c r="T75" s="118"/>
      <c r="U75" s="118">
        <f>+S75-30%</f>
        <v>0.16010000000000002</v>
      </c>
      <c r="V75" s="2" t="s">
        <v>234</v>
      </c>
    </row>
    <row r="76" spans="1:22" ht="15.75">
      <c r="A76" s="527" t="s">
        <v>114</v>
      </c>
      <c r="B76" s="527"/>
      <c r="C76" s="527"/>
      <c r="D76" s="527"/>
      <c r="E76" s="527"/>
      <c r="F76" s="181">
        <f>+'Estados Financieros'!C65</f>
        <v>4085976750.1799998</v>
      </c>
      <c r="G76" s="181">
        <f>+'Estados Financieros'!D65</f>
        <v>3919357545.5812511</v>
      </c>
      <c r="H76" s="181">
        <f>+'Estados Financieros'!E65</f>
        <v>5018538778.2699986</v>
      </c>
      <c r="I76" s="181">
        <f>+'Estados Financieros'!F65</f>
        <v>5262350703.539999</v>
      </c>
      <c r="J76" s="181">
        <f>+'Estados Financieros'!G65</f>
        <v>4416771753.6700001</v>
      </c>
      <c r="K76" s="165">
        <f t="shared" si="12"/>
        <v>0.17747750212623736</v>
      </c>
      <c r="L76" s="160">
        <f t="shared" si="12"/>
        <v>0.14635490944850427</v>
      </c>
      <c r="M76" s="160">
        <f t="shared" si="12"/>
        <v>0.15297349676078681</v>
      </c>
      <c r="N76" s="160">
        <f t="shared" si="12"/>
        <v>0.10902370179099866</v>
      </c>
      <c r="O76" s="160">
        <f t="shared" si="12"/>
        <v>8.6404379414324745E-2</v>
      </c>
      <c r="P76" s="177">
        <f t="shared" si="13"/>
        <v>0.13444679790817038</v>
      </c>
      <c r="Q76" s="118"/>
      <c r="R76" s="182" t="s">
        <v>237</v>
      </c>
      <c r="S76" s="182">
        <f>+S74+S75</f>
        <v>0.86559312757735507</v>
      </c>
      <c r="T76" s="183"/>
    </row>
    <row r="77" spans="1:22" ht="15.75">
      <c r="A77" s="541" t="s">
        <v>115</v>
      </c>
      <c r="B77" s="541"/>
      <c r="C77" s="541"/>
      <c r="D77" s="541"/>
      <c r="E77" s="541"/>
      <c r="F77" s="184">
        <f>+'Estados Financieros'!C66</f>
        <v>10053003694.009998</v>
      </c>
      <c r="G77" s="184">
        <f>+'Estados Financieros'!D66</f>
        <v>11502844480.521242</v>
      </c>
      <c r="H77" s="184">
        <f>+'Estados Financieros'!E66</f>
        <v>12038509187.26001</v>
      </c>
      <c r="I77" s="184">
        <f>+'Estados Financieros'!F66</f>
        <v>12700022158.659996</v>
      </c>
      <c r="J77" s="184">
        <f>+'Estados Financieros'!G66</f>
        <v>10573762900.309999</v>
      </c>
      <c r="K77" s="185">
        <f t="shared" si="12"/>
        <v>0.43665984746490127</v>
      </c>
      <c r="L77" s="186">
        <f t="shared" si="12"/>
        <v>0.42953411184568169</v>
      </c>
      <c r="M77" s="186">
        <f t="shared" si="12"/>
        <v>0.36695399348829033</v>
      </c>
      <c r="N77" s="186">
        <f t="shared" si="12"/>
        <v>0.26311500440922642</v>
      </c>
      <c r="O77" s="186">
        <f t="shared" si="12"/>
        <v>0.20685230580827457</v>
      </c>
      <c r="P77" s="187">
        <f t="shared" si="13"/>
        <v>0.34062305260327486</v>
      </c>
      <c r="Q77" s="118"/>
      <c r="R77" s="175" t="s">
        <v>238</v>
      </c>
      <c r="S77" s="182">
        <f>+S73-S76</f>
        <v>0.13440687242264493</v>
      </c>
      <c r="T77" s="183"/>
    </row>
    <row r="78" spans="1:22">
      <c r="A78" s="528" t="s">
        <v>0</v>
      </c>
      <c r="B78" s="528"/>
      <c r="C78" s="528"/>
      <c r="D78" s="528"/>
      <c r="E78" s="528"/>
      <c r="F78" s="178">
        <f>F75-F76-F77</f>
        <v>3268287817.1499977</v>
      </c>
      <c r="G78" s="178">
        <f>G75-G76-G77</f>
        <v>4184291993.9275055</v>
      </c>
      <c r="H78" s="178">
        <f>H75-H76-H77</f>
        <v>4565089090.8999996</v>
      </c>
      <c r="I78" s="178">
        <f>I75-I76-I77</f>
        <v>4338456308.6200008</v>
      </c>
      <c r="J78" s="178">
        <f>J75-J76-J77</f>
        <v>3575268724.5999947</v>
      </c>
      <c r="K78" s="158">
        <f t="shared" si="12"/>
        <v>0.14196056254892825</v>
      </c>
      <c r="L78" s="161">
        <f t="shared" si="12"/>
        <v>0.15624797399966278</v>
      </c>
      <c r="M78" s="161">
        <f t="shared" si="12"/>
        <v>0.13915158816412032</v>
      </c>
      <c r="N78" s="161">
        <f t="shared" si="12"/>
        <v>8.988275268428593E-2</v>
      </c>
      <c r="O78" s="161">
        <f t="shared" si="12"/>
        <v>6.9942232159001388E-2</v>
      </c>
      <c r="P78" s="174">
        <f t="shared" si="13"/>
        <v>0.11943702191119973</v>
      </c>
      <c r="R78" s="188" t="s">
        <v>239</v>
      </c>
      <c r="S78" s="189">
        <v>9.7000000000000003E-3</v>
      </c>
      <c r="T78" s="118"/>
    </row>
    <row r="79" spans="1:22">
      <c r="A79" s="529" t="s">
        <v>240</v>
      </c>
      <c r="B79" s="530"/>
      <c r="C79" s="530"/>
      <c r="D79" s="530"/>
      <c r="E79" s="530"/>
      <c r="F79" s="154"/>
      <c r="G79" s="154"/>
      <c r="H79" s="154"/>
      <c r="I79" s="154"/>
      <c r="J79" s="159"/>
      <c r="K79" s="190"/>
      <c r="L79" s="190"/>
      <c r="M79" s="190"/>
      <c r="N79" s="190"/>
      <c r="O79" s="191"/>
      <c r="P79" s="192"/>
      <c r="R79" s="179" t="s">
        <v>241</v>
      </c>
      <c r="S79" s="180">
        <v>0.2306</v>
      </c>
      <c r="T79" s="118"/>
    </row>
    <row r="80" spans="1:22" ht="15.75">
      <c r="A80" s="527" t="s">
        <v>116</v>
      </c>
      <c r="B80" s="527"/>
      <c r="C80" s="527"/>
      <c r="D80" s="527"/>
      <c r="E80" s="527"/>
      <c r="F80" s="155">
        <f>+'Estados Financieros'!C68</f>
        <v>4717768607.7700005</v>
      </c>
      <c r="G80" s="155">
        <f>+'Estados Financieros'!D68</f>
        <v>1683091506.75</v>
      </c>
      <c r="H80" s="155">
        <f>+'Estados Financieros'!E68</f>
        <v>259993041.26999998</v>
      </c>
      <c r="I80" s="155">
        <f>+'Estados Financieros'!F68</f>
        <v>3769101185.6399999</v>
      </c>
      <c r="J80" s="155">
        <f>+'Estados Financieros'!G68</f>
        <v>12795129909.43</v>
      </c>
      <c r="K80" s="156">
        <f t="shared" ref="K80:O82" si="14">+F80/F$73</f>
        <v>0.2049198611029078</v>
      </c>
      <c r="L80" s="160">
        <f t="shared" si="14"/>
        <v>6.2849255828077724E-2</v>
      </c>
      <c r="M80" s="160">
        <f t="shared" si="14"/>
        <v>7.9250248755184001E-3</v>
      </c>
      <c r="N80" s="160">
        <f t="shared" si="14"/>
        <v>7.8087035021608645E-2</v>
      </c>
      <c r="O80" s="160">
        <f t="shared" si="14"/>
        <v>0.25030844268358043</v>
      </c>
      <c r="P80" s="177">
        <f t="shared" si="13"/>
        <v>0.12081792390233859</v>
      </c>
      <c r="R80" s="188" t="s">
        <v>242</v>
      </c>
      <c r="S80" s="189">
        <v>5.2699999999999997E-2</v>
      </c>
      <c r="T80" s="118"/>
    </row>
    <row r="81" spans="1:23" ht="15.75">
      <c r="A81" s="527" t="s">
        <v>117</v>
      </c>
      <c r="B81" s="527"/>
      <c r="C81" s="527"/>
      <c r="D81" s="527"/>
      <c r="E81" s="527"/>
      <c r="F81" s="155">
        <f>+'Estados Financieros'!C69</f>
        <v>130802060.67713402</v>
      </c>
      <c r="G81" s="155">
        <f>+'Estados Financieros'!D69</f>
        <v>25649620.870000001</v>
      </c>
      <c r="H81" s="155">
        <f>+'Estados Financieros'!E69</f>
        <v>218892588.44000006</v>
      </c>
      <c r="I81" s="155">
        <f>+'Estados Financieros'!F69</f>
        <v>1075644921.3299999</v>
      </c>
      <c r="J81" s="155">
        <f>+'Estados Financieros'!G69</f>
        <v>649105198.48999977</v>
      </c>
      <c r="K81" s="165">
        <f t="shared" si="14"/>
        <v>5.6814868075104972E-3</v>
      </c>
      <c r="L81" s="160">
        <f t="shared" si="14"/>
        <v>9.5779675524872154E-4</v>
      </c>
      <c r="M81" s="160">
        <f t="shared" si="14"/>
        <v>6.6722139945742396E-3</v>
      </c>
      <c r="N81" s="160">
        <f t="shared" si="14"/>
        <v>2.2284868064227591E-2</v>
      </c>
      <c r="O81" s="160">
        <f t="shared" si="14"/>
        <v>1.2698308850471551E-2</v>
      </c>
      <c r="P81" s="177">
        <f t="shared" si="13"/>
        <v>9.6589348944065203E-3</v>
      </c>
      <c r="R81" s="175" t="s">
        <v>243</v>
      </c>
      <c r="S81" s="182">
        <f>+S77+S78-S79-S80</f>
        <v>-0.13919312757735508</v>
      </c>
      <c r="T81" s="183"/>
      <c r="U81" s="118"/>
    </row>
    <row r="82" spans="1:23" ht="15.75">
      <c r="A82" s="527" t="s">
        <v>121</v>
      </c>
      <c r="B82" s="527"/>
      <c r="C82" s="527"/>
      <c r="D82" s="527"/>
      <c r="E82" s="527"/>
      <c r="F82" s="155">
        <f>+'Estados Financieros'!C70</f>
        <v>5531624808.4628668</v>
      </c>
      <c r="G82" s="155">
        <f>+'Estados Financieros'!D70</f>
        <v>2560661207.5900002</v>
      </c>
      <c r="H82" s="155">
        <f>+'Estados Financieros'!E70</f>
        <v>1008727094.67</v>
      </c>
      <c r="I82" s="155">
        <f>+'Estados Financieros'!F70</f>
        <v>3661814751.4799995</v>
      </c>
      <c r="J82" s="155">
        <f>+'Estados Financieros'!G70</f>
        <v>13200338936</v>
      </c>
      <c r="K82" s="165">
        <f t="shared" si="14"/>
        <v>0.24027032304142876</v>
      </c>
      <c r="L82" s="160">
        <f t="shared" si="14"/>
        <v>9.5619073995341086E-2</v>
      </c>
      <c r="M82" s="160">
        <f t="shared" si="14"/>
        <v>3.074769724150915E-2</v>
      </c>
      <c r="N82" s="160">
        <f t="shared" si="14"/>
        <v>7.5864308931496288E-2</v>
      </c>
      <c r="O82" s="160">
        <f t="shared" si="14"/>
        <v>0.25823546187916629</v>
      </c>
      <c r="P82" s="177">
        <f t="shared" si="13"/>
        <v>0.14014737301778832</v>
      </c>
    </row>
    <row r="83" spans="1:23" ht="15.75" thickBot="1">
      <c r="A83" s="529" t="s">
        <v>244</v>
      </c>
      <c r="B83" s="530"/>
      <c r="C83" s="530"/>
      <c r="D83" s="530"/>
      <c r="E83" s="530"/>
      <c r="F83" s="154"/>
      <c r="G83" s="154"/>
      <c r="H83" s="154"/>
      <c r="I83" s="154"/>
      <c r="J83" s="159"/>
      <c r="K83" s="190"/>
      <c r="L83" s="190"/>
      <c r="M83" s="190"/>
      <c r="N83" s="190"/>
      <c r="O83" s="191"/>
      <c r="P83" s="192"/>
    </row>
    <row r="84" spans="1:23" ht="35.25" customHeight="1" thickBot="1">
      <c r="A84" s="528" t="s">
        <v>245</v>
      </c>
      <c r="B84" s="528"/>
      <c r="C84" s="528"/>
      <c r="D84" s="528"/>
      <c r="E84" s="528"/>
      <c r="F84" s="178">
        <f>F78+F80-F81-F82</f>
        <v>2323629555.7799978</v>
      </c>
      <c r="G84" s="178">
        <f>G78+G80-G81-G82</f>
        <v>3281072672.2175055</v>
      </c>
      <c r="H84" s="178">
        <f>H78+H80-H81-H82</f>
        <v>3597462449.0599995</v>
      </c>
      <c r="I84" s="178">
        <f>I78+I80-I81-I82</f>
        <v>3370097821.4500008</v>
      </c>
      <c r="J84" s="178">
        <f>J78+J80-J81-J82</f>
        <v>2520954499.5399952</v>
      </c>
      <c r="K84" s="156">
        <f t="shared" ref="K84:O86" si="15">+F84/F$73</f>
        <v>0.1009286138028968</v>
      </c>
      <c r="L84" s="161">
        <f t="shared" si="15"/>
        <v>0.12252035907715071</v>
      </c>
      <c r="M84" s="161">
        <f t="shared" si="15"/>
        <v>0.10965670180355531</v>
      </c>
      <c r="N84" s="161">
        <f t="shared" si="15"/>
        <v>6.9820610710170691E-2</v>
      </c>
      <c r="O84" s="161">
        <f t="shared" si="15"/>
        <v>4.9316904112943996E-2</v>
      </c>
      <c r="P84" s="174">
        <f t="shared" si="13"/>
        <v>9.0448637901343498E-2</v>
      </c>
      <c r="R84" s="542" t="s">
        <v>246</v>
      </c>
      <c r="S84" s="543"/>
    </row>
    <row r="85" spans="1:23" ht="15.75">
      <c r="A85" s="527" t="s">
        <v>119</v>
      </c>
      <c r="B85" s="527"/>
      <c r="C85" s="527"/>
      <c r="D85" s="527"/>
      <c r="E85" s="527"/>
      <c r="F85" s="181">
        <f>+'Estados Financieros'!C72</f>
        <v>659560050.19000006</v>
      </c>
      <c r="G85" s="181">
        <f>+'Estados Financieros'!D72</f>
        <v>1157834912.323205</v>
      </c>
      <c r="H85" s="181">
        <f>+'Estados Financieros'!E72</f>
        <v>1300251000</v>
      </c>
      <c r="I85" s="181">
        <f>+'Estados Financieros'!F72</f>
        <v>1962957224.6700001</v>
      </c>
      <c r="J85" s="181">
        <f>+'Estados Financieros'!G72</f>
        <v>1869093692.6900001</v>
      </c>
      <c r="K85" s="165">
        <f t="shared" si="15"/>
        <v>2.8648491503242213E-2</v>
      </c>
      <c r="L85" s="160">
        <f t="shared" si="15"/>
        <v>4.3235357269312095E-2</v>
      </c>
      <c r="M85" s="160">
        <f t="shared" si="15"/>
        <v>3.9633835848385417E-2</v>
      </c>
      <c r="N85" s="160">
        <f t="shared" si="15"/>
        <v>4.0667921076971182E-2</v>
      </c>
      <c r="O85" s="160">
        <f t="shared" si="15"/>
        <v>3.6564687874105252E-2</v>
      </c>
      <c r="P85" s="177">
        <f t="shared" si="13"/>
        <v>3.7750058714403227E-2</v>
      </c>
      <c r="R85" s="193" t="s">
        <v>229</v>
      </c>
      <c r="S85" s="193" t="s">
        <v>230</v>
      </c>
    </row>
    <row r="86" spans="1:23">
      <c r="A86" s="528" t="s">
        <v>130</v>
      </c>
      <c r="B86" s="528"/>
      <c r="C86" s="528"/>
      <c r="D86" s="528"/>
      <c r="E86" s="528"/>
      <c r="F86" s="178">
        <f>F84-F85</f>
        <v>1664069505.5899978</v>
      </c>
      <c r="G86" s="178">
        <f>G84-G85</f>
        <v>2123237759.8943005</v>
      </c>
      <c r="H86" s="178">
        <f>H84-H85</f>
        <v>2297211449.0599995</v>
      </c>
      <c r="I86" s="178">
        <f>I84-I85</f>
        <v>1407140596.7800007</v>
      </c>
      <c r="J86" s="178">
        <f>J84-J85</f>
        <v>651860806.84999514</v>
      </c>
      <c r="K86" s="158">
        <f t="shared" si="15"/>
        <v>7.2280122299654595E-2</v>
      </c>
      <c r="L86" s="161">
        <f t="shared" si="15"/>
        <v>7.9285001807838609E-2</v>
      </c>
      <c r="M86" s="161">
        <f t="shared" si="15"/>
        <v>7.0022865955169905E-2</v>
      </c>
      <c r="N86" s="161">
        <f t="shared" si="15"/>
        <v>2.9152689633199509E-2</v>
      </c>
      <c r="O86" s="161">
        <f t="shared" si="15"/>
        <v>1.2752216238838741E-2</v>
      </c>
      <c r="P86" s="174">
        <f t="shared" si="13"/>
        <v>5.2698579186940278E-2</v>
      </c>
      <c r="R86" s="539"/>
      <c r="S86" s="540"/>
    </row>
    <row r="87" spans="1:23">
      <c r="A87" s="194"/>
      <c r="B87" s="194"/>
      <c r="C87" s="194"/>
      <c r="D87" s="194"/>
      <c r="E87" s="194"/>
      <c r="F87" s="195"/>
      <c r="G87" s="195"/>
      <c r="H87" s="195"/>
      <c r="I87" s="195"/>
      <c r="J87" s="195"/>
      <c r="K87" s="196"/>
      <c r="L87" s="196"/>
      <c r="M87" s="196"/>
      <c r="N87" s="196"/>
      <c r="O87" s="196"/>
      <c r="P87" s="197"/>
      <c r="R87" s="175" t="s">
        <v>17</v>
      </c>
      <c r="S87" s="176">
        <v>1</v>
      </c>
    </row>
    <row r="88" spans="1:23">
      <c r="G88" s="132"/>
      <c r="H88" s="132"/>
      <c r="I88" s="132"/>
      <c r="J88" s="132"/>
      <c r="K88" s="101"/>
      <c r="L88" s="101"/>
      <c r="M88" s="101"/>
      <c r="N88" s="101"/>
      <c r="O88" s="101"/>
      <c r="R88" s="198" t="s">
        <v>233</v>
      </c>
      <c r="S88" s="176">
        <v>0.34129999999999999</v>
      </c>
      <c r="U88" s="2" t="s">
        <v>247</v>
      </c>
      <c r="W88" s="2" t="s">
        <v>248</v>
      </c>
    </row>
    <row r="89" spans="1:23">
      <c r="R89" s="188" t="s">
        <v>236</v>
      </c>
      <c r="S89" s="176">
        <v>0.4</v>
      </c>
      <c r="U89" s="2" t="s">
        <v>249</v>
      </c>
      <c r="W89" s="2" t="s">
        <v>250</v>
      </c>
    </row>
    <row r="90" spans="1:23" ht="15.75" thickBot="1">
      <c r="F90" s="80"/>
      <c r="R90" s="182" t="s">
        <v>237</v>
      </c>
      <c r="S90" s="182">
        <f>+S88+S89</f>
        <v>0.74130000000000007</v>
      </c>
    </row>
    <row r="91" spans="1:23" ht="16.5" thickBot="1">
      <c r="A91" s="44" t="s">
        <v>127</v>
      </c>
      <c r="B91" s="199"/>
      <c r="C91" s="199"/>
      <c r="D91" s="199"/>
      <c r="E91" s="199"/>
      <c r="F91" s="200">
        <f>F71</f>
        <v>2016</v>
      </c>
      <c r="G91" s="201">
        <f>G71</f>
        <v>2017</v>
      </c>
      <c r="H91" s="201">
        <f>H71</f>
        <v>2018</v>
      </c>
      <c r="I91" s="201">
        <f>I71</f>
        <v>2019</v>
      </c>
      <c r="J91" s="202">
        <f>J71</f>
        <v>2020</v>
      </c>
      <c r="R91" s="175" t="s">
        <v>238</v>
      </c>
      <c r="S91" s="182">
        <v>0.25869999999999999</v>
      </c>
    </row>
    <row r="92" spans="1:23" ht="15.75">
      <c r="A92" s="35" t="s">
        <v>128</v>
      </c>
      <c r="B92" s="203"/>
      <c r="C92" s="203"/>
      <c r="D92" s="203"/>
      <c r="E92" s="203"/>
      <c r="F92" s="204">
        <f>+'Estados Financieros'!C79</f>
        <v>624239677.62</v>
      </c>
      <c r="G92" s="205">
        <f>+'Estados Financieros'!D79</f>
        <v>672448534.4525001</v>
      </c>
      <c r="H92" s="205">
        <f>+'Estados Financieros'!E79</f>
        <v>544579979.86999989</v>
      </c>
      <c r="I92" s="205">
        <f>+'Estados Financieros'!F79</f>
        <v>499801260</v>
      </c>
      <c r="J92" s="206">
        <f>+'Estados Financieros'!G79</f>
        <v>71592658</v>
      </c>
      <c r="R92" s="188" t="s">
        <v>239</v>
      </c>
      <c r="S92" s="176">
        <f>+S78</f>
        <v>9.7000000000000003E-3</v>
      </c>
    </row>
    <row r="93" spans="1:23" ht="16.5" thickBot="1">
      <c r="A93" s="45" t="s">
        <v>129</v>
      </c>
      <c r="B93" s="42"/>
      <c r="C93" s="42"/>
      <c r="D93" s="42"/>
      <c r="E93" s="42"/>
      <c r="F93" s="207">
        <f>+'Estados Financieros'!C80</f>
        <v>367253033.06</v>
      </c>
      <c r="G93" s="208">
        <f>+'Estados Financieros'!D80</f>
        <v>510204030.69000006</v>
      </c>
      <c r="H93" s="208">
        <f>+'Estados Financieros'!E80</f>
        <v>26989121.07</v>
      </c>
      <c r="I93" s="208">
        <f>+'Estados Financieros'!F80</f>
        <v>1330560</v>
      </c>
      <c r="J93" s="209">
        <f>+'Estados Financieros'!G80</f>
        <v>32157915.66</v>
      </c>
      <c r="R93" s="188" t="s">
        <v>241</v>
      </c>
      <c r="S93" s="176">
        <f>+S79</f>
        <v>0.2306</v>
      </c>
    </row>
    <row r="94" spans="1:23">
      <c r="R94" s="188" t="s">
        <v>242</v>
      </c>
      <c r="S94" s="176">
        <f>+S80</f>
        <v>5.2699999999999997E-2</v>
      </c>
    </row>
    <row r="95" spans="1:23">
      <c r="R95" s="175" t="s">
        <v>243</v>
      </c>
      <c r="S95" s="182">
        <f>+S91+S92-S93-S94</f>
        <v>-1.4900000000000024E-2</v>
      </c>
    </row>
  </sheetData>
  <mergeCells count="73">
    <mergeCell ref="A73:E73"/>
    <mergeCell ref="A74:E74"/>
    <mergeCell ref="A75:E75"/>
    <mergeCell ref="A72:E72"/>
    <mergeCell ref="A86:E86"/>
    <mergeCell ref="R86:S86"/>
    <mergeCell ref="A76:E76"/>
    <mergeCell ref="A77:E77"/>
    <mergeCell ref="A78:E78"/>
    <mergeCell ref="A79:E79"/>
    <mergeCell ref="A80:E80"/>
    <mergeCell ref="A81:E81"/>
    <mergeCell ref="A82:E82"/>
    <mergeCell ref="A83:E83"/>
    <mergeCell ref="A84:E84"/>
    <mergeCell ref="R84:S84"/>
    <mergeCell ref="A85:E85"/>
    <mergeCell ref="K72:O72"/>
    <mergeCell ref="R72:S72"/>
    <mergeCell ref="R70:S70"/>
    <mergeCell ref="A71:E71"/>
    <mergeCell ref="A58:E58"/>
    <mergeCell ref="A59:E59"/>
    <mergeCell ref="A60:E60"/>
    <mergeCell ref="A61:E61"/>
    <mergeCell ref="A63:E63"/>
    <mergeCell ref="A65:E65"/>
    <mergeCell ref="A67:J67"/>
    <mergeCell ref="A68:J68"/>
    <mergeCell ref="A69:J69"/>
    <mergeCell ref="A70:J70"/>
    <mergeCell ref="A57:E57"/>
    <mergeCell ref="A44:E44"/>
    <mergeCell ref="A45:E45"/>
    <mergeCell ref="A46:E46"/>
    <mergeCell ref="A47:E47"/>
    <mergeCell ref="A48:E48"/>
    <mergeCell ref="A49:E49"/>
    <mergeCell ref="A50:E50"/>
    <mergeCell ref="A52:E52"/>
    <mergeCell ref="A54:E54"/>
    <mergeCell ref="A55:E55"/>
    <mergeCell ref="A56:E56"/>
    <mergeCell ref="A43:E43"/>
    <mergeCell ref="A30:E30"/>
    <mergeCell ref="A31:E31"/>
    <mergeCell ref="A32:E32"/>
    <mergeCell ref="A33:E33"/>
    <mergeCell ref="A34:E34"/>
    <mergeCell ref="A36:E36"/>
    <mergeCell ref="A38:E38"/>
    <mergeCell ref="A39:E39"/>
    <mergeCell ref="A40:E40"/>
    <mergeCell ref="A41:E41"/>
    <mergeCell ref="A42:E42"/>
    <mergeCell ref="A29:E29"/>
    <mergeCell ref="A19:O19"/>
    <mergeCell ref="A20:E20"/>
    <mergeCell ref="A21:E21"/>
    <mergeCell ref="K21:O21"/>
    <mergeCell ref="A22:E22"/>
    <mergeCell ref="A23:E23"/>
    <mergeCell ref="A24:E24"/>
    <mergeCell ref="A25:E25"/>
    <mergeCell ref="A26:E26"/>
    <mergeCell ref="A27:E27"/>
    <mergeCell ref="A28:E28"/>
    <mergeCell ref="A18:O18"/>
    <mergeCell ref="A6:O10"/>
    <mergeCell ref="A13:O13"/>
    <mergeCell ref="A14:O15"/>
    <mergeCell ref="A16:O16"/>
    <mergeCell ref="A17:O17"/>
  </mergeCells>
  <hyperlinks>
    <hyperlink ref="A1" location="CONTENIDO!A25" display="MENU PRINCIPAL" xr:uid="{00000000-0004-0000-0E00-000000000000}"/>
  </hyperlink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7">
    <tabColor rgb="FF00B050"/>
  </sheetPr>
  <dimension ref="A1:AI119"/>
  <sheetViews>
    <sheetView zoomScale="70" zoomScaleNormal="70" workbookViewId="0"/>
  </sheetViews>
  <sheetFormatPr baseColWidth="10" defaultRowHeight="15"/>
  <cols>
    <col min="1" max="1" width="54.42578125" style="2" bestFit="1" customWidth="1"/>
    <col min="2" max="5" width="11.42578125" style="2"/>
    <col min="6" max="10" width="18" style="2" bestFit="1" customWidth="1"/>
    <col min="11" max="11" width="18.85546875" style="2" bestFit="1" customWidth="1"/>
    <col min="12" max="13" width="19.140625" style="2" bestFit="1" customWidth="1"/>
    <col min="14" max="15" width="21" style="2" bestFit="1" customWidth="1"/>
    <col min="16" max="16" width="11.42578125" style="2" customWidth="1"/>
    <col min="17" max="17" width="27.85546875" style="2" customWidth="1"/>
    <col min="18" max="18" width="21.85546875" style="2" bestFit="1" customWidth="1"/>
    <col min="19" max="19" width="35" style="2" customWidth="1"/>
    <col min="20" max="20" width="6.85546875" style="2" bestFit="1" customWidth="1"/>
    <col min="21" max="22" width="6.140625" style="2" bestFit="1" customWidth="1"/>
    <col min="23" max="23" width="7.140625" style="2" bestFit="1" customWidth="1"/>
    <col min="24" max="24" width="21.85546875" style="2" bestFit="1" customWidth="1"/>
    <col min="25" max="26" width="7.140625" style="2" bestFit="1" customWidth="1"/>
    <col min="27" max="29" width="8.140625" style="2" bestFit="1" customWidth="1"/>
    <col min="30" max="34" width="11.42578125" style="2"/>
    <col min="35" max="35" width="24.85546875" style="2" customWidth="1"/>
    <col min="36" max="16384" width="11.42578125" style="2"/>
  </cols>
  <sheetData>
    <row r="1" spans="1:16" ht="27" thickBot="1">
      <c r="A1" s="147" t="s">
        <v>191</v>
      </c>
    </row>
    <row r="5" spans="1:16" ht="15.75" thickBot="1"/>
    <row r="6" spans="1:16">
      <c r="A6" s="496" t="s">
        <v>204</v>
      </c>
      <c r="B6" s="497"/>
      <c r="C6" s="497"/>
      <c r="D6" s="497"/>
      <c r="E6" s="497"/>
      <c r="F6" s="497"/>
      <c r="G6" s="497"/>
      <c r="H6" s="497"/>
      <c r="I6" s="497"/>
      <c r="J6" s="497"/>
      <c r="K6" s="497"/>
      <c r="L6" s="497"/>
      <c r="M6" s="497"/>
      <c r="N6" s="497"/>
      <c r="O6" s="497"/>
      <c r="P6" s="498"/>
    </row>
    <row r="7" spans="1:16">
      <c r="A7" s="499"/>
      <c r="B7" s="500"/>
      <c r="C7" s="500"/>
      <c r="D7" s="500"/>
      <c r="E7" s="500"/>
      <c r="F7" s="500"/>
      <c r="G7" s="500"/>
      <c r="H7" s="500"/>
      <c r="I7" s="500"/>
      <c r="J7" s="500"/>
      <c r="K7" s="500"/>
      <c r="L7" s="500"/>
      <c r="M7" s="500"/>
      <c r="N7" s="500"/>
      <c r="O7" s="500"/>
      <c r="P7" s="501"/>
    </row>
    <row r="8" spans="1:16">
      <c r="A8" s="499"/>
      <c r="B8" s="500"/>
      <c r="C8" s="500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0"/>
      <c r="O8" s="500"/>
      <c r="P8" s="501"/>
    </row>
    <row r="9" spans="1:16">
      <c r="A9" s="499"/>
      <c r="B9" s="500"/>
      <c r="C9" s="500"/>
      <c r="D9" s="500"/>
      <c r="E9" s="500"/>
      <c r="F9" s="500"/>
      <c r="G9" s="500"/>
      <c r="H9" s="500"/>
      <c r="I9" s="500"/>
      <c r="J9" s="500"/>
      <c r="K9" s="500"/>
      <c r="L9" s="500"/>
      <c r="M9" s="500"/>
      <c r="N9" s="500"/>
      <c r="O9" s="500"/>
      <c r="P9" s="501"/>
    </row>
    <row r="10" spans="1:16">
      <c r="A10" s="499"/>
      <c r="B10" s="500"/>
      <c r="C10" s="500"/>
      <c r="D10" s="500"/>
      <c r="E10" s="500"/>
      <c r="F10" s="500"/>
      <c r="G10" s="500"/>
      <c r="H10" s="500"/>
      <c r="I10" s="500"/>
      <c r="J10" s="500"/>
      <c r="K10" s="500"/>
      <c r="L10" s="500"/>
      <c r="M10" s="500"/>
      <c r="N10" s="500"/>
      <c r="O10" s="500"/>
      <c r="P10" s="501"/>
    </row>
    <row r="11" spans="1:16" ht="15.75" thickBot="1">
      <c r="A11" s="210">
        <f>'Cifras Historicas'!A11</f>
        <v>0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2"/>
    </row>
    <row r="13" spans="1:16" ht="15.75" thickBot="1"/>
    <row r="14" spans="1:16">
      <c r="A14" s="548" t="s">
        <v>251</v>
      </c>
      <c r="B14" s="549"/>
      <c r="C14" s="549"/>
      <c r="D14" s="549"/>
      <c r="E14" s="549"/>
      <c r="F14" s="549"/>
      <c r="G14" s="549"/>
      <c r="H14" s="549"/>
      <c r="I14" s="549"/>
      <c r="J14" s="549"/>
      <c r="K14" s="549"/>
      <c r="L14" s="549"/>
      <c r="M14" s="549"/>
      <c r="N14" s="549"/>
      <c r="O14" s="549"/>
      <c r="P14" s="550"/>
    </row>
    <row r="15" spans="1:16" ht="15.75" thickBot="1">
      <c r="A15" s="551"/>
      <c r="B15" s="552"/>
      <c r="C15" s="552"/>
      <c r="D15" s="552"/>
      <c r="E15" s="552"/>
      <c r="F15" s="552"/>
      <c r="G15" s="552"/>
      <c r="H15" s="552"/>
      <c r="I15" s="552"/>
      <c r="J15" s="552"/>
      <c r="K15" s="552"/>
      <c r="L15" s="552"/>
      <c r="M15" s="552"/>
      <c r="N15" s="552"/>
      <c r="O15" s="552"/>
      <c r="P15" s="553"/>
    </row>
    <row r="16" spans="1:16" ht="23.25">
      <c r="A16" s="537" t="str">
        <f>+'Cifras Historicas'!A16:O16</f>
        <v>FARMACÉUTICAS SAS</v>
      </c>
      <c r="B16" s="538"/>
      <c r="C16" s="538"/>
      <c r="D16" s="538"/>
      <c r="E16" s="538"/>
      <c r="F16" s="538"/>
      <c r="G16" s="538"/>
      <c r="H16" s="538"/>
      <c r="I16" s="538"/>
      <c r="J16" s="538"/>
      <c r="K16" s="538"/>
      <c r="L16" s="538"/>
      <c r="M16" s="538"/>
      <c r="N16" s="538"/>
      <c r="O16" s="538"/>
      <c r="P16" s="554"/>
    </row>
    <row r="17" spans="1:29">
      <c r="A17" s="494" t="s">
        <v>252</v>
      </c>
      <c r="B17" s="495"/>
      <c r="C17" s="495"/>
      <c r="D17" s="495"/>
      <c r="E17" s="495"/>
      <c r="F17" s="495"/>
      <c r="G17" s="495"/>
      <c r="H17" s="495"/>
      <c r="I17" s="495"/>
      <c r="J17" s="495"/>
      <c r="K17" s="495"/>
      <c r="L17" s="495"/>
      <c r="M17" s="495"/>
      <c r="N17" s="495"/>
      <c r="O17" s="495"/>
      <c r="P17" s="555"/>
    </row>
    <row r="18" spans="1:29" ht="15.75" thickBot="1">
      <c r="A18" s="494" t="s">
        <v>207</v>
      </c>
      <c r="B18" s="495"/>
      <c r="C18" s="495"/>
      <c r="D18" s="495"/>
      <c r="E18" s="495"/>
      <c r="F18" s="495"/>
      <c r="G18" s="495"/>
      <c r="H18" s="495"/>
      <c r="I18" s="495"/>
      <c r="J18" s="495"/>
      <c r="K18" s="495"/>
      <c r="L18" s="495"/>
      <c r="M18" s="495"/>
      <c r="N18" s="495"/>
      <c r="O18" s="495"/>
      <c r="P18" s="555"/>
    </row>
    <row r="19" spans="1:29" ht="20.25" thickBot="1">
      <c r="A19" s="519" t="s">
        <v>208</v>
      </c>
      <c r="B19" s="520"/>
      <c r="C19" s="520"/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63"/>
      <c r="R19" s="559" t="s">
        <v>253</v>
      </c>
      <c r="S19" s="560"/>
      <c r="T19" s="560"/>
      <c r="U19" s="560"/>
      <c r="V19" s="560"/>
      <c r="W19" s="560"/>
      <c r="X19" s="560"/>
      <c r="Y19" s="560"/>
      <c r="Z19" s="560"/>
      <c r="AA19" s="560"/>
      <c r="AB19" s="561"/>
    </row>
    <row r="20" spans="1:29" ht="15.75" thickBot="1">
      <c r="A20" s="562"/>
      <c r="B20" s="562"/>
      <c r="C20" s="562"/>
      <c r="D20" s="562"/>
      <c r="E20" s="562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R20" s="214" t="s">
        <v>253</v>
      </c>
      <c r="S20" s="215">
        <f t="shared" ref="S20:AB20" si="0">F29</f>
        <v>2016</v>
      </c>
      <c r="T20" s="215">
        <f t="shared" si="0"/>
        <v>2017</v>
      </c>
      <c r="U20" s="215">
        <f t="shared" si="0"/>
        <v>2018</v>
      </c>
      <c r="V20" s="215">
        <f t="shared" si="0"/>
        <v>2019</v>
      </c>
      <c r="W20" s="216">
        <f t="shared" si="0"/>
        <v>2020</v>
      </c>
      <c r="X20" s="217">
        <f t="shared" si="0"/>
        <v>2021</v>
      </c>
      <c r="Y20" s="218">
        <f t="shared" si="0"/>
        <v>2022</v>
      </c>
      <c r="Z20" s="218">
        <f t="shared" si="0"/>
        <v>2023</v>
      </c>
      <c r="AA20" s="218">
        <f t="shared" si="0"/>
        <v>2024</v>
      </c>
      <c r="AB20" s="219">
        <f t="shared" si="0"/>
        <v>2025</v>
      </c>
    </row>
    <row r="21" spans="1:29" ht="15.75" thickBot="1">
      <c r="R21" s="220" t="s">
        <v>254</v>
      </c>
      <c r="S21" s="221">
        <v>0.15</v>
      </c>
      <c r="T21" s="221">
        <v>0.14000000000000001</v>
      </c>
      <c r="U21" s="221">
        <v>0.115</v>
      </c>
      <c r="V21" s="221">
        <v>0.12</v>
      </c>
      <c r="W21" s="222">
        <v>0.105</v>
      </c>
      <c r="X21" s="223">
        <f>_xlfn.FORECAST.LINEAR(X20,S21:W21,S20:W20)</f>
        <v>9.3000000000003524E-2</v>
      </c>
      <c r="Y21" s="221">
        <f>_xlfn.FORECAST.LINEAR(Y20,T21:X21,T20:X20)</f>
        <v>8.3400000000001029E-2</v>
      </c>
      <c r="Z21" s="221">
        <f>_xlfn.FORECAST.LINEAR(Z20,U21:Y21,U20:Y20)</f>
        <v>7.6220000000002841E-2</v>
      </c>
      <c r="AA21" s="221">
        <f>_xlfn.FORECAST.LINEAR(AA20,V21:Z21,V20:Z20)</f>
        <v>6.2776000000003052E-2</v>
      </c>
      <c r="AB21" s="222">
        <f>_xlfn.FORECAST.LINEAR(AB20,W21:AA21,W20:AA20)</f>
        <v>5.371080000000461E-2</v>
      </c>
    </row>
    <row r="22" spans="1:29">
      <c r="A22" s="548" t="s">
        <v>255</v>
      </c>
      <c r="B22" s="549"/>
      <c r="C22" s="549"/>
      <c r="D22" s="549"/>
      <c r="E22" s="549"/>
      <c r="F22" s="549"/>
      <c r="G22" s="549"/>
      <c r="H22" s="549"/>
      <c r="I22" s="549"/>
      <c r="J22" s="549"/>
      <c r="K22" s="549"/>
      <c r="L22" s="549"/>
      <c r="M22" s="549"/>
      <c r="N22" s="549"/>
      <c r="O22" s="549"/>
      <c r="P22" s="550"/>
      <c r="S22" s="2" t="s">
        <v>256</v>
      </c>
    </row>
    <row r="23" spans="1:29" ht="15.75" thickBot="1">
      <c r="A23" s="551"/>
      <c r="B23" s="552"/>
      <c r="C23" s="552"/>
      <c r="D23" s="552"/>
      <c r="E23" s="552"/>
      <c r="F23" s="552"/>
      <c r="G23" s="552"/>
      <c r="H23" s="552"/>
      <c r="I23" s="552"/>
      <c r="J23" s="552"/>
      <c r="K23" s="552"/>
      <c r="L23" s="552"/>
      <c r="M23" s="552"/>
      <c r="N23" s="552"/>
      <c r="O23" s="552"/>
      <c r="P23" s="553"/>
      <c r="S23" s="2" t="s">
        <v>257</v>
      </c>
    </row>
    <row r="24" spans="1:29" ht="23.25">
      <c r="A24" s="537" t="str">
        <f>+A16</f>
        <v>FARMACÉUTICAS SAS</v>
      </c>
      <c r="B24" s="538"/>
      <c r="C24" s="538"/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54"/>
    </row>
    <row r="25" spans="1:29">
      <c r="A25" s="494" t="s">
        <v>258</v>
      </c>
      <c r="B25" s="495"/>
      <c r="C25" s="495"/>
      <c r="D25" s="495"/>
      <c r="E25" s="495"/>
      <c r="F25" s="495"/>
      <c r="G25" s="495"/>
      <c r="H25" s="495"/>
      <c r="I25" s="495"/>
      <c r="J25" s="495"/>
      <c r="K25" s="495"/>
      <c r="L25" s="495"/>
      <c r="M25" s="495"/>
      <c r="N25" s="495"/>
      <c r="O25" s="495"/>
      <c r="P25" s="555"/>
    </row>
    <row r="26" spans="1:29" ht="15.75" thickBot="1">
      <c r="A26" s="494"/>
      <c r="B26" s="495"/>
      <c r="C26" s="495"/>
      <c r="D26" s="495"/>
      <c r="E26" s="495"/>
      <c r="F26" s="495"/>
      <c r="G26" s="495"/>
      <c r="H26" s="495"/>
      <c r="I26" s="495"/>
      <c r="J26" s="495"/>
      <c r="K26" s="495"/>
      <c r="L26" s="495"/>
      <c r="M26" s="495"/>
      <c r="N26" s="495"/>
      <c r="O26" s="495"/>
      <c r="P26" s="555"/>
    </row>
    <row r="27" spans="1:29" ht="26.25" thickBot="1">
      <c r="A27" s="564" t="s">
        <v>259</v>
      </c>
      <c r="B27" s="565"/>
      <c r="C27" s="565"/>
      <c r="D27" s="565"/>
      <c r="E27" s="565"/>
      <c r="F27" s="565"/>
      <c r="G27" s="565"/>
      <c r="H27" s="565"/>
      <c r="I27" s="565"/>
      <c r="J27" s="565"/>
      <c r="K27" s="565"/>
      <c r="L27" s="565"/>
      <c r="M27" s="565"/>
      <c r="N27" s="565"/>
      <c r="O27" s="565"/>
      <c r="P27" s="566"/>
    </row>
    <row r="28" spans="1:29" ht="22.5" customHeight="1" thickBot="1">
      <c r="A28" s="224"/>
      <c r="B28" s="225"/>
      <c r="C28" s="225"/>
      <c r="D28" s="225"/>
      <c r="E28" s="225"/>
      <c r="F28" s="567" t="s">
        <v>260</v>
      </c>
      <c r="G28" s="568"/>
      <c r="H28" s="568"/>
      <c r="I28" s="568"/>
      <c r="J28" s="568"/>
      <c r="K28" s="567" t="s">
        <v>261</v>
      </c>
      <c r="L28" s="568"/>
      <c r="M28" s="568"/>
      <c r="N28" s="568"/>
      <c r="O28" s="568"/>
      <c r="P28" s="226"/>
      <c r="S28" s="569" t="s">
        <v>262</v>
      </c>
      <c r="T28" s="570"/>
      <c r="U28" s="570"/>
      <c r="V28" s="570"/>
      <c r="W28" s="571"/>
      <c r="Y28" s="569" t="s">
        <v>263</v>
      </c>
      <c r="Z28" s="570"/>
      <c r="AA28" s="570"/>
      <c r="AB28" s="570"/>
      <c r="AC28" s="571"/>
    </row>
    <row r="29" spans="1:29" ht="15.75" customHeight="1">
      <c r="A29" s="556" t="s">
        <v>264</v>
      </c>
      <c r="B29" s="557"/>
      <c r="C29" s="557"/>
      <c r="D29" s="557"/>
      <c r="E29" s="558"/>
      <c r="F29" s="227">
        <f>'Cifras Historicas'!F20</f>
        <v>2016</v>
      </c>
      <c r="G29" s="228">
        <f>'Cifras Historicas'!G20</f>
        <v>2017</v>
      </c>
      <c r="H29" s="228">
        <f>'Cifras Historicas'!H20</f>
        <v>2018</v>
      </c>
      <c r="I29" s="228">
        <f>'Cifras Historicas'!I20</f>
        <v>2019</v>
      </c>
      <c r="J29" s="229">
        <f>'Cifras Historicas'!J20</f>
        <v>2020</v>
      </c>
      <c r="K29" s="230">
        <f>J29+1</f>
        <v>2021</v>
      </c>
      <c r="L29" s="231">
        <f>K29+1</f>
        <v>2022</v>
      </c>
      <c r="M29" s="231">
        <f>L29+1</f>
        <v>2023</v>
      </c>
      <c r="N29" s="231">
        <f>M29+1</f>
        <v>2024</v>
      </c>
      <c r="O29" s="232">
        <f>N29+1</f>
        <v>2025</v>
      </c>
      <c r="P29" s="233"/>
      <c r="R29" s="82" t="s">
        <v>265</v>
      </c>
      <c r="S29" s="234">
        <f>K29</f>
        <v>2021</v>
      </c>
      <c r="T29" s="235">
        <f>L29</f>
        <v>2022</v>
      </c>
      <c r="U29" s="235">
        <f>M29</f>
        <v>2023</v>
      </c>
      <c r="V29" s="235">
        <f>N29</f>
        <v>2024</v>
      </c>
      <c r="W29" s="236">
        <f>O29</f>
        <v>2025</v>
      </c>
      <c r="X29" s="82" t="s">
        <v>265</v>
      </c>
      <c r="Y29" s="237">
        <f>K29</f>
        <v>2021</v>
      </c>
      <c r="Z29" s="235">
        <f>L29</f>
        <v>2022</v>
      </c>
      <c r="AA29" s="235">
        <f>M29</f>
        <v>2023</v>
      </c>
      <c r="AB29" s="235">
        <f>N29</f>
        <v>2024</v>
      </c>
      <c r="AC29" s="236">
        <f>O29</f>
        <v>2025</v>
      </c>
    </row>
    <row r="30" spans="1:29" ht="15.75" customHeight="1">
      <c r="A30" s="572" t="s">
        <v>266</v>
      </c>
      <c r="B30" s="527"/>
      <c r="C30" s="527"/>
      <c r="D30" s="527"/>
      <c r="E30" s="573"/>
      <c r="F30" s="238">
        <v>6.7699999999999996E-2</v>
      </c>
      <c r="G30" s="238">
        <v>5.7500000000000002E-2</v>
      </c>
      <c r="H30" s="238">
        <v>4.0899999999999999E-2</v>
      </c>
      <c r="I30" s="238">
        <v>3.1800000000000002E-2</v>
      </c>
      <c r="J30" s="238">
        <v>3.7999999999999999E-2</v>
      </c>
      <c r="K30" s="239">
        <v>3.4000000000000002E-2</v>
      </c>
      <c r="L30" s="189">
        <v>3.1E-2</v>
      </c>
      <c r="M30" s="189">
        <v>3.15E-2</v>
      </c>
      <c r="N30" s="189">
        <v>0.03</v>
      </c>
      <c r="O30" s="240">
        <v>0.03</v>
      </c>
      <c r="P30" s="233"/>
      <c r="R30" s="241" t="s">
        <v>266</v>
      </c>
      <c r="S30" s="242">
        <v>0.02</v>
      </c>
      <c r="T30" s="189">
        <v>2.5000000000000001E-2</v>
      </c>
      <c r="U30" s="189">
        <v>2.8000000000000001E-2</v>
      </c>
      <c r="V30" s="189">
        <v>0.03</v>
      </c>
      <c r="W30" s="240">
        <v>3.3000000000000002E-2</v>
      </c>
      <c r="X30" s="241" t="s">
        <v>266</v>
      </c>
      <c r="Y30" s="239">
        <v>0.01</v>
      </c>
      <c r="Z30" s="189">
        <v>1.2999999999999999E-2</v>
      </c>
      <c r="AA30" s="189">
        <v>1.4999999999999999E-2</v>
      </c>
      <c r="AB30" s="189">
        <v>0.02</v>
      </c>
      <c r="AC30" s="240">
        <v>2.5000000000000001E-2</v>
      </c>
    </row>
    <row r="31" spans="1:29" ht="15.75" customHeight="1">
      <c r="A31" s="572" t="s">
        <v>267</v>
      </c>
      <c r="B31" s="527"/>
      <c r="C31" s="527"/>
      <c r="D31" s="527"/>
      <c r="E31" s="573"/>
      <c r="F31" s="239">
        <v>0.03</v>
      </c>
      <c r="G31" s="189">
        <v>2.1000000000000001E-2</v>
      </c>
      <c r="H31" s="189">
        <v>1.4E-2</v>
      </c>
      <c r="I31" s="189">
        <v>2.5000000000000001E-2</v>
      </c>
      <c r="J31" s="240">
        <v>3.3000000000000002E-2</v>
      </c>
      <c r="K31" s="239">
        <v>0.02</v>
      </c>
      <c r="L31" s="189">
        <v>2.8000000000000001E-2</v>
      </c>
      <c r="M31" s="189">
        <v>3.5000000000000003E-2</v>
      </c>
      <c r="N31" s="189">
        <v>4.2000000000000003E-2</v>
      </c>
      <c r="O31" s="240">
        <v>3.6999999999999998E-2</v>
      </c>
      <c r="P31" s="233"/>
      <c r="R31" s="241" t="s">
        <v>267</v>
      </c>
      <c r="S31" s="242">
        <v>-1.4999999999999999E-2</v>
      </c>
      <c r="T31" s="189">
        <v>-0.01</v>
      </c>
      <c r="U31" s="189">
        <v>0</v>
      </c>
      <c r="V31" s="189">
        <v>0.02</v>
      </c>
      <c r="W31" s="240">
        <v>2.5000000000000001E-2</v>
      </c>
      <c r="X31" s="241" t="s">
        <v>267</v>
      </c>
      <c r="Y31" s="239">
        <v>-0.03</v>
      </c>
      <c r="Z31" s="189">
        <v>-2.8000000000000001E-2</v>
      </c>
      <c r="AA31" s="189">
        <v>-1.4999999999999999E-2</v>
      </c>
      <c r="AB31" s="189">
        <v>-0.01</v>
      </c>
      <c r="AC31" s="240">
        <v>1.2E-2</v>
      </c>
    </row>
    <row r="32" spans="1:29" ht="15.75" customHeight="1">
      <c r="A32" s="572" t="s">
        <v>268</v>
      </c>
      <c r="B32" s="527"/>
      <c r="C32" s="527"/>
      <c r="D32" s="527"/>
      <c r="E32" s="573"/>
      <c r="F32" s="243"/>
      <c r="G32" s="160">
        <f>+('Cifras Historicas'!G86/'Cifras Historicas'!F86)-1</f>
        <v>0.27593093483285958</v>
      </c>
      <c r="H32" s="160">
        <f>+('Cifras Historicas'!H86/'Cifras Historicas'!G86)-1</f>
        <v>8.1937921626996646E-2</v>
      </c>
      <c r="I32" s="160">
        <f>+('Cifras Historicas'!I86/'Cifras Historicas'!H86)-1</f>
        <v>-0.38745708526057043</v>
      </c>
      <c r="J32" s="160">
        <f>+('Cifras Historicas'!J86/'Cifras Historicas'!I86)-1</f>
        <v>-0.53674792103812052</v>
      </c>
      <c r="K32" s="244">
        <f>_xlfn.FORECAST.LINEAR(K29,$G$32:$J$32,$G$29:$J$29)</f>
        <v>-0.86844193108481704</v>
      </c>
      <c r="L32" s="244">
        <f t="shared" ref="L32:O32" si="1">_xlfn.FORECAST.LINEAR(L29,$G$32:$J$32,$G$29:$J$29)</f>
        <v>-1.1591850885348549</v>
      </c>
      <c r="M32" s="244">
        <f t="shared" si="1"/>
        <v>-1.4499282459848928</v>
      </c>
      <c r="N32" s="244">
        <f t="shared" si="1"/>
        <v>-1.7406714034349307</v>
      </c>
      <c r="O32" s="244">
        <f t="shared" si="1"/>
        <v>-2.0314145608849685</v>
      </c>
      <c r="P32" s="233"/>
      <c r="R32" s="241" t="s">
        <v>268</v>
      </c>
      <c r="S32" s="165">
        <v>0.02</v>
      </c>
      <c r="T32" s="160">
        <v>0.03</v>
      </c>
      <c r="U32" s="160">
        <v>3.5000000000000003E-2</v>
      </c>
      <c r="V32" s="160">
        <v>0.04</v>
      </c>
      <c r="W32" s="245">
        <v>0.05</v>
      </c>
      <c r="X32" s="241" t="s">
        <v>268</v>
      </c>
      <c r="Y32" s="244">
        <f>+K32</f>
        <v>-0.86844193108481704</v>
      </c>
      <c r="Z32" s="244">
        <f t="shared" ref="Z32:AC32" si="2">+L32</f>
        <v>-1.1591850885348549</v>
      </c>
      <c r="AA32" s="244">
        <f t="shared" si="2"/>
        <v>-1.4499282459848928</v>
      </c>
      <c r="AB32" s="244">
        <f t="shared" si="2"/>
        <v>-1.7406714034349307</v>
      </c>
      <c r="AC32" s="244">
        <f t="shared" si="2"/>
        <v>-2.0314145608849685</v>
      </c>
    </row>
    <row r="33" spans="1:30" ht="15.75" customHeight="1" thickBot="1">
      <c r="A33" s="574" t="s">
        <v>269</v>
      </c>
      <c r="B33" s="528"/>
      <c r="C33" s="528"/>
      <c r="D33" s="528"/>
      <c r="E33" s="575"/>
      <c r="F33" s="243"/>
      <c r="G33" s="160">
        <f>+((1+G30)*(1+G31))-1</f>
        <v>7.9707500000000042E-2</v>
      </c>
      <c r="H33" s="160">
        <f t="shared" ref="H33:O33" si="3">+((1+H30)*(1+H31))-1</f>
        <v>5.5472599999999872E-2</v>
      </c>
      <c r="I33" s="160">
        <f t="shared" si="3"/>
        <v>5.7595000000000063E-2</v>
      </c>
      <c r="J33" s="160">
        <f t="shared" si="3"/>
        <v>7.225400000000004E-2</v>
      </c>
      <c r="K33" s="160">
        <f t="shared" si="3"/>
        <v>5.4680000000000062E-2</v>
      </c>
      <c r="L33" s="160">
        <f t="shared" si="3"/>
        <v>5.9868000000000032E-2</v>
      </c>
      <c r="M33" s="160">
        <f t="shared" si="3"/>
        <v>6.760250000000001E-2</v>
      </c>
      <c r="N33" s="160">
        <f t="shared" si="3"/>
        <v>7.3260000000000103E-2</v>
      </c>
      <c r="O33" s="160">
        <f t="shared" si="3"/>
        <v>6.8109999999999893E-2</v>
      </c>
      <c r="P33" s="233"/>
      <c r="R33" s="84" t="s">
        <v>270</v>
      </c>
      <c r="S33" s="246">
        <f>+((1+S30)*(1+S31)*(1+S32))-1</f>
        <v>2.4793999999999983E-2</v>
      </c>
      <c r="T33" s="246">
        <f t="shared" ref="T33:W33" si="4">+((1+T30)*(1+T31)*(1+T32))-1</f>
        <v>4.5192499999999747E-2</v>
      </c>
      <c r="U33" s="246">
        <f t="shared" si="4"/>
        <v>6.3979999999999926E-2</v>
      </c>
      <c r="V33" s="246">
        <f t="shared" si="4"/>
        <v>9.262400000000004E-2</v>
      </c>
      <c r="W33" s="246">
        <f t="shared" si="4"/>
        <v>0.11176624999999984</v>
      </c>
      <c r="X33" s="84" t="s">
        <v>270</v>
      </c>
      <c r="Y33" s="247">
        <f>+((1+Y30)*(1+Y31)*(1+Y32))-1</f>
        <v>-0.87111255988379521</v>
      </c>
      <c r="Z33" s="247">
        <f t="shared" ref="Z33:AC33" si="5">+((1+Z30)*(1+Z31)*(1+Z32))-1</f>
        <v>-1.1567393688346055</v>
      </c>
      <c r="AA33" s="247">
        <f t="shared" si="5"/>
        <v>-1.4498270121295462</v>
      </c>
      <c r="AB33" s="247">
        <f t="shared" si="5"/>
        <v>-1.7479299831885931</v>
      </c>
      <c r="AC33" s="247">
        <f t="shared" si="5"/>
        <v>-2.0698863240059779</v>
      </c>
    </row>
    <row r="34" spans="1:30" ht="15" customHeight="1">
      <c r="A34" s="574" t="s">
        <v>270</v>
      </c>
      <c r="B34" s="528"/>
      <c r="C34" s="528"/>
      <c r="D34" s="528"/>
      <c r="E34" s="575"/>
      <c r="F34" s="248"/>
      <c r="G34" s="249">
        <f>+G33</f>
        <v>7.9707500000000042E-2</v>
      </c>
      <c r="H34" s="249">
        <f t="shared" ref="H34:J34" si="6">+H33</f>
        <v>5.5472599999999872E-2</v>
      </c>
      <c r="I34" s="249">
        <f t="shared" si="6"/>
        <v>5.7595000000000063E-2</v>
      </c>
      <c r="J34" s="249">
        <f t="shared" si="6"/>
        <v>7.225400000000004E-2</v>
      </c>
      <c r="K34" s="250">
        <f>CHOOSE($F$35,K33,S33,Y33)</f>
        <v>5.4680000000000062E-2</v>
      </c>
      <c r="L34" s="250">
        <f t="shared" ref="L34:O34" si="7">CHOOSE($F$35,L33,T33,Z33)</f>
        <v>5.9868000000000032E-2</v>
      </c>
      <c r="M34" s="250">
        <f t="shared" si="7"/>
        <v>6.760250000000001E-2</v>
      </c>
      <c r="N34" s="250">
        <f t="shared" si="7"/>
        <v>7.3260000000000103E-2</v>
      </c>
      <c r="O34" s="250">
        <f t="shared" si="7"/>
        <v>6.8109999999999893E-2</v>
      </c>
      <c r="P34" s="233"/>
      <c r="S34" s="251"/>
      <c r="T34" s="251"/>
      <c r="U34" s="251"/>
      <c r="V34" s="251"/>
      <c r="W34" s="251"/>
      <c r="X34" s="15"/>
      <c r="Y34" s="251"/>
      <c r="Z34" s="251"/>
      <c r="AA34" s="251"/>
      <c r="AB34" s="251"/>
      <c r="AC34" s="251"/>
      <c r="AD34" s="15"/>
    </row>
    <row r="35" spans="1:30" ht="21" customHeight="1" thickBot="1">
      <c r="A35" s="584" t="s">
        <v>271</v>
      </c>
      <c r="B35" s="585"/>
      <c r="C35" s="585"/>
      <c r="D35" s="585"/>
      <c r="E35" s="586"/>
      <c r="F35" s="252">
        <v>1</v>
      </c>
      <c r="G35" s="576" t="s">
        <v>268</v>
      </c>
      <c r="H35" s="576"/>
      <c r="I35" s="576"/>
      <c r="J35" s="577"/>
      <c r="K35" s="578" t="s">
        <v>272</v>
      </c>
      <c r="L35" s="579"/>
      <c r="M35" s="579"/>
      <c r="N35" s="579"/>
      <c r="O35" s="580"/>
      <c r="P35" s="233"/>
    </row>
    <row r="36" spans="1:30" ht="15.75" customHeight="1" thickBot="1">
      <c r="P36" s="253"/>
    </row>
    <row r="37" spans="1:30" ht="29.25" customHeight="1" thickBot="1">
      <c r="A37" s="581"/>
      <c r="B37" s="582"/>
      <c r="C37" s="582"/>
      <c r="D37" s="582"/>
      <c r="E37" s="582"/>
      <c r="F37" s="582"/>
      <c r="G37" s="582"/>
      <c r="H37" s="582"/>
      <c r="I37" s="582"/>
      <c r="J37" s="582"/>
      <c r="K37" s="582"/>
      <c r="L37" s="582"/>
      <c r="M37" s="582"/>
      <c r="N37" s="582"/>
      <c r="O37" s="582"/>
      <c r="P37" s="583"/>
    </row>
    <row r="38" spans="1:30">
      <c r="A38" s="548" t="s">
        <v>251</v>
      </c>
      <c r="B38" s="549"/>
      <c r="C38" s="549"/>
      <c r="D38" s="549"/>
      <c r="E38" s="549"/>
      <c r="F38" s="549"/>
      <c r="G38" s="549"/>
      <c r="H38" s="549"/>
      <c r="I38" s="549"/>
      <c r="J38" s="549"/>
      <c r="K38" s="549"/>
      <c r="L38" s="549"/>
      <c r="M38" s="549"/>
      <c r="N38" s="549"/>
      <c r="O38" s="549"/>
      <c r="P38" s="550"/>
    </row>
    <row r="39" spans="1:30" ht="15.75" thickBot="1">
      <c r="A39" s="551"/>
      <c r="B39" s="552"/>
      <c r="C39" s="552"/>
      <c r="D39" s="552"/>
      <c r="E39" s="552"/>
      <c r="F39" s="552"/>
      <c r="G39" s="552"/>
      <c r="H39" s="552"/>
      <c r="I39" s="552"/>
      <c r="J39" s="552"/>
      <c r="K39" s="552"/>
      <c r="L39" s="552"/>
      <c r="M39" s="552"/>
      <c r="N39" s="552"/>
      <c r="O39" s="552"/>
      <c r="P39" s="553"/>
    </row>
    <row r="40" spans="1:30" ht="23.25">
      <c r="A40" s="537" t="str">
        <f>+A24</f>
        <v>FARMACÉUTICAS SAS</v>
      </c>
      <c r="B40" s="538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54"/>
    </row>
    <row r="41" spans="1:30">
      <c r="A41" s="494" t="s">
        <v>273</v>
      </c>
      <c r="B41" s="495"/>
      <c r="C41" s="495"/>
      <c r="D41" s="495"/>
      <c r="E41" s="495"/>
      <c r="F41" s="495"/>
      <c r="G41" s="495"/>
      <c r="H41" s="495"/>
      <c r="I41" s="495"/>
      <c r="J41" s="495"/>
      <c r="K41" s="495"/>
      <c r="L41" s="495"/>
      <c r="M41" s="495"/>
      <c r="N41" s="495"/>
      <c r="O41" s="495"/>
      <c r="P41" s="555"/>
    </row>
    <row r="42" spans="1:30" ht="15.75" thickBot="1">
      <c r="A42" s="587"/>
      <c r="B42" s="588"/>
      <c r="C42" s="588"/>
      <c r="D42" s="588"/>
      <c r="E42" s="588"/>
      <c r="F42" s="588"/>
      <c r="G42" s="588"/>
      <c r="H42" s="588"/>
      <c r="I42" s="588"/>
      <c r="J42" s="588"/>
      <c r="K42" s="588"/>
      <c r="L42" s="588"/>
      <c r="M42" s="588"/>
      <c r="N42" s="588"/>
      <c r="O42" s="588"/>
      <c r="P42" s="589"/>
    </row>
    <row r="43" spans="1:30" ht="15.75" thickBot="1">
      <c r="A43" s="521" t="s">
        <v>209</v>
      </c>
      <c r="B43" s="521"/>
      <c r="C43" s="521"/>
      <c r="D43" s="521"/>
      <c r="E43" s="521"/>
      <c r="F43" s="150">
        <f t="shared" ref="F43:O43" si="8">F29</f>
        <v>2016</v>
      </c>
      <c r="G43" s="150">
        <f t="shared" si="8"/>
        <v>2017</v>
      </c>
      <c r="H43" s="150">
        <f t="shared" si="8"/>
        <v>2018</v>
      </c>
      <c r="I43" s="150">
        <f t="shared" si="8"/>
        <v>2019</v>
      </c>
      <c r="J43" s="254">
        <f t="shared" si="8"/>
        <v>2020</v>
      </c>
      <c r="K43" s="255">
        <f t="shared" si="8"/>
        <v>2021</v>
      </c>
      <c r="L43" s="256">
        <f t="shared" si="8"/>
        <v>2022</v>
      </c>
      <c r="M43" s="256">
        <f t="shared" si="8"/>
        <v>2023</v>
      </c>
      <c r="N43" s="256">
        <f t="shared" si="8"/>
        <v>2024</v>
      </c>
      <c r="O43" s="257">
        <f t="shared" si="8"/>
        <v>2025</v>
      </c>
    </row>
    <row r="44" spans="1:30">
      <c r="A44" s="522" t="s">
        <v>210</v>
      </c>
      <c r="B44" s="523"/>
      <c r="C44" s="523"/>
      <c r="D44" s="523"/>
      <c r="E44" s="523"/>
      <c r="F44" s="154"/>
      <c r="G44" s="154"/>
      <c r="H44" s="154"/>
      <c r="I44" s="154"/>
      <c r="J44" s="154"/>
      <c r="K44" s="258"/>
      <c r="L44" s="258"/>
      <c r="M44" s="258"/>
      <c r="N44" s="258"/>
      <c r="O44" s="258"/>
    </row>
    <row r="45" spans="1:30" ht="15.75">
      <c r="A45" s="527" t="s">
        <v>79</v>
      </c>
      <c r="B45" s="527"/>
      <c r="C45" s="527"/>
      <c r="D45" s="527"/>
      <c r="E45" s="527"/>
      <c r="F45" s="155">
        <f>'Cifras Historicas'!F22</f>
        <v>577436825.11000001</v>
      </c>
      <c r="G45" s="155">
        <f>'Cifras Historicas'!G22</f>
        <v>635552182.89999998</v>
      </c>
      <c r="H45" s="155">
        <f>'Cifras Historicas'!H22</f>
        <v>923368854.54000008</v>
      </c>
      <c r="I45" s="155">
        <f>'Cifras Historicas'!I22</f>
        <v>6525458484.6300001</v>
      </c>
      <c r="J45" s="155">
        <f>'Cifras Historicas'!J22</f>
        <v>20263865147.600002</v>
      </c>
      <c r="K45" s="155">
        <f t="shared" ref="K45:O49" si="9">+J45*(1+K$34)</f>
        <v>21371893293.870773</v>
      </c>
      <c r="L45" s="155">
        <f t="shared" si="9"/>
        <v>22651385801.58823</v>
      </c>
      <c r="M45" s="155">
        <f t="shared" si="9"/>
        <v>24182676110.240097</v>
      </c>
      <c r="N45" s="155">
        <f t="shared" si="9"/>
        <v>25954298962.07629</v>
      </c>
      <c r="O45" s="155">
        <f t="shared" si="9"/>
        <v>27722046264.383305</v>
      </c>
    </row>
    <row r="46" spans="1:30" ht="15.75">
      <c r="A46" s="527" t="s">
        <v>80</v>
      </c>
      <c r="B46" s="527"/>
      <c r="C46" s="527"/>
      <c r="D46" s="527"/>
      <c r="E46" s="527"/>
      <c r="F46" s="155">
        <f>'Cifras Historicas'!F23</f>
        <v>0</v>
      </c>
      <c r="G46" s="155">
        <f>'Cifras Historicas'!G23</f>
        <v>0</v>
      </c>
      <c r="H46" s="155">
        <f>'Cifras Historicas'!H23</f>
        <v>0</v>
      </c>
      <c r="I46" s="155">
        <f>'Cifras Historicas'!I23</f>
        <v>0</v>
      </c>
      <c r="J46" s="155">
        <f>'Cifras Historicas'!J23</f>
        <v>0</v>
      </c>
      <c r="K46" s="155">
        <f t="shared" si="9"/>
        <v>0</v>
      </c>
      <c r="L46" s="155">
        <f t="shared" si="9"/>
        <v>0</v>
      </c>
      <c r="M46" s="155">
        <f t="shared" si="9"/>
        <v>0</v>
      </c>
      <c r="N46" s="155">
        <f t="shared" si="9"/>
        <v>0</v>
      </c>
      <c r="O46" s="155">
        <f t="shared" si="9"/>
        <v>0</v>
      </c>
    </row>
    <row r="47" spans="1:30" ht="15.75">
      <c r="A47" s="527" t="s">
        <v>81</v>
      </c>
      <c r="B47" s="527"/>
      <c r="C47" s="527"/>
      <c r="D47" s="527"/>
      <c r="E47" s="527"/>
      <c r="F47" s="155">
        <f>'Cifras Historicas'!F24</f>
        <v>11385509735.380001</v>
      </c>
      <c r="G47" s="155">
        <f>'Cifras Historicas'!G24</f>
        <v>10694903131.379997</v>
      </c>
      <c r="H47" s="155">
        <f>'Cifras Historicas'!H24</f>
        <v>20055814840.639999</v>
      </c>
      <c r="I47" s="155">
        <f>'Cifras Historicas'!I24</f>
        <v>25868895297.710007</v>
      </c>
      <c r="J47" s="155">
        <f>'Cifras Historicas'!J24</f>
        <v>22731466212.569992</v>
      </c>
      <c r="K47" s="155">
        <f t="shared" si="9"/>
        <v>23974422785.073322</v>
      </c>
      <c r="L47" s="155">
        <f t="shared" si="9"/>
        <v>25409723528.370094</v>
      </c>
      <c r="M47" s="155">
        <f t="shared" si="9"/>
        <v>27127484363.196735</v>
      </c>
      <c r="N47" s="155">
        <f t="shared" si="9"/>
        <v>29114843867.644531</v>
      </c>
      <c r="O47" s="155">
        <f t="shared" si="9"/>
        <v>31097855883.469799</v>
      </c>
    </row>
    <row r="48" spans="1:30" ht="15.75">
      <c r="A48" s="527" t="s">
        <v>82</v>
      </c>
      <c r="B48" s="527"/>
      <c r="C48" s="527"/>
      <c r="D48" s="527"/>
      <c r="E48" s="527"/>
      <c r="F48" s="155">
        <f>'Cifras Historicas'!F25</f>
        <v>2473248785.8400002</v>
      </c>
      <c r="G48" s="155">
        <f>'Cifras Historicas'!G25</f>
        <v>2535358837.8000007</v>
      </c>
      <c r="H48" s="155">
        <f>'Cifras Historicas'!H25</f>
        <v>2815452942.3699999</v>
      </c>
      <c r="I48" s="155">
        <f>'Cifras Historicas'!I25</f>
        <v>8577058239.7800007</v>
      </c>
      <c r="J48" s="155">
        <f>'Cifras Historicas'!J25</f>
        <v>21630543917.52</v>
      </c>
      <c r="K48" s="155">
        <f t="shared" si="9"/>
        <v>22813302058.929996</v>
      </c>
      <c r="L48" s="155">
        <f t="shared" si="9"/>
        <v>24179088826.594017</v>
      </c>
      <c r="M48" s="155">
        <f t="shared" si="9"/>
        <v>25813655678.993839</v>
      </c>
      <c r="N48" s="155">
        <f t="shared" si="9"/>
        <v>27704764094.03693</v>
      </c>
      <c r="O48" s="155">
        <f t="shared" si="9"/>
        <v>29591735576.481781</v>
      </c>
    </row>
    <row r="49" spans="1:35" ht="15.75">
      <c r="A49" s="527" t="s">
        <v>83</v>
      </c>
      <c r="B49" s="527"/>
      <c r="C49" s="527"/>
      <c r="D49" s="527"/>
      <c r="E49" s="527"/>
      <c r="F49" s="155">
        <f>'Cifras Historicas'!F26</f>
        <v>457414678.56999999</v>
      </c>
      <c r="G49" s="155">
        <f>'Cifras Historicas'!G26</f>
        <v>215298906.37</v>
      </c>
      <c r="H49" s="155">
        <f>'Cifras Historicas'!H26</f>
        <v>87286738.689999998</v>
      </c>
      <c r="I49" s="155">
        <f>'Cifras Historicas'!I26</f>
        <v>168328628.94</v>
      </c>
      <c r="J49" s="155">
        <f>'Cifras Historicas'!J26</f>
        <v>638885425.25999999</v>
      </c>
      <c r="K49" s="155">
        <f t="shared" si="9"/>
        <v>673819680.31321681</v>
      </c>
      <c r="L49" s="155">
        <f t="shared" si="9"/>
        <v>714159916.93420851</v>
      </c>
      <c r="M49" s="155">
        <f t="shared" si="9"/>
        <v>762438912.71875334</v>
      </c>
      <c r="N49" s="155">
        <f t="shared" si="9"/>
        <v>818295187.46452928</v>
      </c>
      <c r="O49" s="155">
        <f t="shared" si="9"/>
        <v>874029272.6827383</v>
      </c>
    </row>
    <row r="50" spans="1:35" ht="15.75">
      <c r="A50" s="528" t="s">
        <v>212</v>
      </c>
      <c r="B50" s="528"/>
      <c r="C50" s="528"/>
      <c r="D50" s="528"/>
      <c r="E50" s="528"/>
      <c r="F50" s="259">
        <f>'Cifras Historicas'!F27</f>
        <v>14893610024.900002</v>
      </c>
      <c r="G50" s="259">
        <f>'Cifras Historicas'!G27</f>
        <v>14081113058.449999</v>
      </c>
      <c r="H50" s="259">
        <f>'Cifras Historicas'!H27</f>
        <v>23881923376.239998</v>
      </c>
      <c r="I50" s="259">
        <f>'Cifras Historicas'!I27</f>
        <v>41139740651.060013</v>
      </c>
      <c r="J50" s="259">
        <f>'Cifras Historicas'!J27</f>
        <v>65264760702.950005</v>
      </c>
      <c r="K50" s="259">
        <f>SUM(K45:K49)</f>
        <v>68833437818.187302</v>
      </c>
      <c r="L50" s="259">
        <f t="shared" ref="L50:O50" si="10">SUM(L45:L49)</f>
        <v>72954358073.486542</v>
      </c>
      <c r="M50" s="259">
        <f t="shared" si="10"/>
        <v>77886255065.149414</v>
      </c>
      <c r="N50" s="259">
        <f t="shared" si="10"/>
        <v>83592202111.222275</v>
      </c>
      <c r="O50" s="259">
        <f t="shared" si="10"/>
        <v>89285666997.017624</v>
      </c>
    </row>
    <row r="51" spans="1:35">
      <c r="A51" s="529" t="s">
        <v>213</v>
      </c>
      <c r="B51" s="530"/>
      <c r="C51" s="530"/>
      <c r="D51" s="530"/>
      <c r="E51" s="530"/>
      <c r="F51" s="154"/>
      <c r="G51" s="154"/>
      <c r="H51" s="154"/>
      <c r="I51" s="154"/>
      <c r="J51" s="159"/>
      <c r="K51" s="258"/>
      <c r="L51" s="258"/>
      <c r="M51" s="258"/>
      <c r="N51" s="258"/>
      <c r="O51" s="258"/>
    </row>
    <row r="52" spans="1:35" ht="15.75">
      <c r="A52" s="516" t="s">
        <v>80</v>
      </c>
      <c r="B52" s="517"/>
      <c r="C52" s="517"/>
      <c r="D52" s="517"/>
      <c r="E52" s="518"/>
      <c r="F52" s="155">
        <f>'Cifras Historicas'!F29</f>
        <v>315198869.09000003</v>
      </c>
      <c r="G52" s="155">
        <f>'Cifras Historicas'!G29</f>
        <v>313443626.69999999</v>
      </c>
      <c r="H52" s="155">
        <f>'Cifras Historicas'!H29</f>
        <v>170681517.13999999</v>
      </c>
      <c r="I52" s="155">
        <f>'Cifras Historicas'!I29</f>
        <v>10683510</v>
      </c>
      <c r="J52" s="155">
        <f>'Cifras Historicas'!J29</f>
        <v>49683510</v>
      </c>
      <c r="K52" s="155">
        <f t="shared" ref="K52:O56" si="11">+J52*(1+K$34)</f>
        <v>52400204.326800004</v>
      </c>
      <c r="L52" s="155">
        <f t="shared" si="11"/>
        <v>55537299.759436868</v>
      </c>
      <c r="M52" s="155">
        <f t="shared" si="11"/>
        <v>59291760.066424198</v>
      </c>
      <c r="N52" s="155">
        <f t="shared" si="11"/>
        <v>63635474.408890441</v>
      </c>
      <c r="O52" s="155">
        <f t="shared" si="11"/>
        <v>67969686.570879966</v>
      </c>
    </row>
    <row r="53" spans="1:35" ht="15.75">
      <c r="A53" s="527" t="s">
        <v>86</v>
      </c>
      <c r="B53" s="527"/>
      <c r="C53" s="527"/>
      <c r="D53" s="527"/>
      <c r="E53" s="527"/>
      <c r="F53" s="155">
        <f>'Cifras Historicas'!F30</f>
        <v>7434829283.1700001</v>
      </c>
      <c r="G53" s="155">
        <f>'Cifras Historicas'!G30</f>
        <v>11010424766.040001</v>
      </c>
      <c r="H53" s="155">
        <f>'Cifras Historicas'!H30</f>
        <v>11949162213.34</v>
      </c>
      <c r="I53" s="155">
        <f>'Cifras Historicas'!I30</f>
        <v>14026059862.77</v>
      </c>
      <c r="J53" s="155">
        <f>'Cifras Historicas'!J30</f>
        <v>16912503053.120003</v>
      </c>
      <c r="K53" s="155">
        <f t="shared" si="11"/>
        <v>17837278720.064606</v>
      </c>
      <c r="L53" s="155">
        <f t="shared" si="11"/>
        <v>18905160922.477432</v>
      </c>
      <c r="M53" s="155">
        <f t="shared" si="11"/>
        <v>20183197063.739212</v>
      </c>
      <c r="N53" s="155">
        <f t="shared" si="11"/>
        <v>21661818080.62875</v>
      </c>
      <c r="O53" s="155">
        <f t="shared" si="11"/>
        <v>23137204510.100372</v>
      </c>
    </row>
    <row r="54" spans="1:35" ht="15.75">
      <c r="A54" s="527" t="s">
        <v>87</v>
      </c>
      <c r="B54" s="527"/>
      <c r="C54" s="527"/>
      <c r="D54" s="527"/>
      <c r="E54" s="527"/>
      <c r="F54" s="155">
        <f>'Cifras Historicas'!F31</f>
        <v>8863280753.7800007</v>
      </c>
      <c r="G54" s="155">
        <f>'Cifras Historicas'!G31</f>
        <v>8259711192.4274998</v>
      </c>
      <c r="H54" s="155">
        <f>'Cifras Historicas'!H31</f>
        <v>7857112029.8400002</v>
      </c>
      <c r="I54" s="155">
        <f>'Cifras Historicas'!I31</f>
        <v>7949091527.6599998</v>
      </c>
      <c r="J54" s="155">
        <f>'Cifras Historicas'!J31</f>
        <v>7813014062.4299994</v>
      </c>
      <c r="K54" s="155">
        <f t="shared" si="11"/>
        <v>8240229671.3636723</v>
      </c>
      <c r="L54" s="155">
        <f t="shared" si="11"/>
        <v>8733555741.3288727</v>
      </c>
      <c r="M54" s="155">
        <f t="shared" si="11"/>
        <v>9323965943.332058</v>
      </c>
      <c r="N54" s="155">
        <f t="shared" si="11"/>
        <v>10007039688.340565</v>
      </c>
      <c r="O54" s="155">
        <f t="shared" si="11"/>
        <v>10688619161.513439</v>
      </c>
    </row>
    <row r="55" spans="1:35" ht="15.75">
      <c r="A55" s="527" t="s">
        <v>88</v>
      </c>
      <c r="B55" s="527"/>
      <c r="C55" s="527"/>
      <c r="D55" s="527"/>
      <c r="E55" s="527"/>
      <c r="F55" s="155">
        <f>'Cifras Historicas'!F32</f>
        <v>160000000</v>
      </c>
      <c r="G55" s="155">
        <f>'Cifras Historicas'!G32</f>
        <v>160000000</v>
      </c>
      <c r="H55" s="155">
        <f>'Cifras Historicas'!H32</f>
        <v>0</v>
      </c>
      <c r="I55" s="155">
        <f>'Cifras Historicas'!I32</f>
        <v>0</v>
      </c>
      <c r="J55" s="155">
        <f>'Cifras Historicas'!J32</f>
        <v>0</v>
      </c>
      <c r="K55" s="155">
        <f t="shared" si="11"/>
        <v>0</v>
      </c>
      <c r="L55" s="155">
        <f t="shared" si="11"/>
        <v>0</v>
      </c>
      <c r="M55" s="155">
        <f t="shared" si="11"/>
        <v>0</v>
      </c>
      <c r="N55" s="155">
        <f t="shared" si="11"/>
        <v>0</v>
      </c>
      <c r="O55" s="155">
        <f t="shared" si="11"/>
        <v>0</v>
      </c>
    </row>
    <row r="56" spans="1:35" ht="15.75">
      <c r="A56" s="527" t="s">
        <v>89</v>
      </c>
      <c r="B56" s="527"/>
      <c r="C56" s="527"/>
      <c r="D56" s="527"/>
      <c r="E56" s="527"/>
      <c r="F56" s="155">
        <f>'Cifras Historicas'!F33</f>
        <v>0</v>
      </c>
      <c r="G56" s="155">
        <f>'Cifras Historicas'!G33</f>
        <v>18980476.91</v>
      </c>
      <c r="H56" s="155">
        <f>'Cifras Historicas'!H33</f>
        <v>18980476.91</v>
      </c>
      <c r="I56" s="155">
        <f>'Cifras Historicas'!I33</f>
        <v>0</v>
      </c>
      <c r="J56" s="155">
        <f>'Cifras Historicas'!J33</f>
        <v>0</v>
      </c>
      <c r="K56" s="155">
        <f t="shared" si="11"/>
        <v>0</v>
      </c>
      <c r="L56" s="155">
        <f t="shared" si="11"/>
        <v>0</v>
      </c>
      <c r="M56" s="155">
        <f t="shared" si="11"/>
        <v>0</v>
      </c>
      <c r="N56" s="155">
        <f t="shared" si="11"/>
        <v>0</v>
      </c>
      <c r="O56" s="155">
        <f t="shared" si="11"/>
        <v>0</v>
      </c>
    </row>
    <row r="57" spans="1:35" ht="15.75">
      <c r="A57" s="527" t="s">
        <v>214</v>
      </c>
      <c r="B57" s="527"/>
      <c r="C57" s="527"/>
      <c r="D57" s="527"/>
      <c r="E57" s="527"/>
      <c r="F57" s="259">
        <f>'Cifras Historicas'!F34</f>
        <v>16773308906.040001</v>
      </c>
      <c r="G57" s="259">
        <f>'Cifras Historicas'!G34</f>
        <v>19762560062.077503</v>
      </c>
      <c r="H57" s="259">
        <f>'Cifras Historicas'!H34</f>
        <v>19995936237.23</v>
      </c>
      <c r="I57" s="259">
        <f>'Cifras Historicas'!I34</f>
        <v>21985834900.43</v>
      </c>
      <c r="J57" s="259">
        <f>'Cifras Historicas'!J34</f>
        <v>24775200625.550003</v>
      </c>
      <c r="K57" s="259">
        <f>SUM(K52:K56)</f>
        <v>26129908595.755081</v>
      </c>
      <c r="L57" s="259">
        <f t="shared" ref="L57:O57" si="12">SUM(L52:L56)</f>
        <v>27694253963.565742</v>
      </c>
      <c r="M57" s="259">
        <f t="shared" si="12"/>
        <v>29566454767.137695</v>
      </c>
      <c r="N57" s="259">
        <f t="shared" si="12"/>
        <v>31732493243.378204</v>
      </c>
      <c r="O57" s="259">
        <f t="shared" si="12"/>
        <v>33893793358.184692</v>
      </c>
    </row>
    <row r="58" spans="1:35">
      <c r="A58" s="162"/>
      <c r="B58" s="162"/>
      <c r="C58" s="162"/>
      <c r="D58" s="162"/>
      <c r="E58" s="162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35" ht="15.75">
      <c r="A59" s="531" t="s">
        <v>215</v>
      </c>
      <c r="B59" s="531"/>
      <c r="C59" s="531"/>
      <c r="D59" s="531"/>
      <c r="E59" s="531"/>
      <c r="F59" s="260">
        <f>F50+F57</f>
        <v>31666918930.940002</v>
      </c>
      <c r="G59" s="260">
        <f>G50+G57</f>
        <v>33843673120.527504</v>
      </c>
      <c r="H59" s="260">
        <f>H50+H57</f>
        <v>43877859613.470001</v>
      </c>
      <c r="I59" s="260">
        <f>I50+I57</f>
        <v>63125575551.490013</v>
      </c>
      <c r="J59" s="260">
        <f>J50+J57</f>
        <v>90039961328.5</v>
      </c>
      <c r="K59" s="261">
        <f>+K50+K57</f>
        <v>94963346413.942383</v>
      </c>
      <c r="L59" s="261">
        <f t="shared" ref="L59:O59" si="13">+L50+L57</f>
        <v>100648612037.05228</v>
      </c>
      <c r="M59" s="261">
        <f t="shared" si="13"/>
        <v>107452709832.28711</v>
      </c>
      <c r="N59" s="261">
        <f t="shared" si="13"/>
        <v>115324695354.60048</v>
      </c>
      <c r="O59" s="261">
        <f t="shared" si="13"/>
        <v>123179460355.20232</v>
      </c>
    </row>
    <row r="60" spans="1:35">
      <c r="A60" s="164"/>
    </row>
    <row r="61" spans="1:35">
      <c r="A61" s="529" t="s">
        <v>216</v>
      </c>
      <c r="B61" s="530"/>
      <c r="C61" s="530"/>
      <c r="D61" s="530"/>
      <c r="E61" s="530"/>
      <c r="F61" s="154"/>
      <c r="G61" s="154"/>
      <c r="H61" s="154"/>
      <c r="I61" s="154"/>
      <c r="J61" s="159"/>
      <c r="K61" s="258"/>
      <c r="L61" s="258"/>
      <c r="M61" s="258"/>
      <c r="N61" s="258"/>
      <c r="O61" s="258"/>
      <c r="Q61" s="15"/>
      <c r="R61" s="15"/>
      <c r="S61" s="15"/>
      <c r="T61" s="15"/>
      <c r="U61" s="262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</row>
    <row r="62" spans="1:35" ht="15.75">
      <c r="A62" s="527" t="s">
        <v>94</v>
      </c>
      <c r="B62" s="527"/>
      <c r="C62" s="527"/>
      <c r="D62" s="527"/>
      <c r="E62" s="527"/>
      <c r="F62" s="155">
        <f>'Cifras Historicas'!F39</f>
        <v>1455671763.8599999</v>
      </c>
      <c r="G62" s="155">
        <f>'Cifras Historicas'!G39</f>
        <v>329220969.63999999</v>
      </c>
      <c r="H62" s="155">
        <f>'Cifras Historicas'!H39</f>
        <v>485354357.98000002</v>
      </c>
      <c r="I62" s="155">
        <f>'Cifras Historicas'!I39</f>
        <v>570874052.06000006</v>
      </c>
      <c r="J62" s="155">
        <f>'Cifras Historicas'!J39</f>
        <v>0</v>
      </c>
      <c r="K62" s="155">
        <f t="shared" ref="K62:O66" si="14">+J62*(1+K$34)</f>
        <v>0</v>
      </c>
      <c r="L62" s="155">
        <f t="shared" si="14"/>
        <v>0</v>
      </c>
      <c r="M62" s="155">
        <f t="shared" si="14"/>
        <v>0</v>
      </c>
      <c r="N62" s="155">
        <f t="shared" si="14"/>
        <v>0</v>
      </c>
      <c r="O62" s="155">
        <f t="shared" si="14"/>
        <v>0</v>
      </c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</row>
    <row r="63" spans="1:35" ht="15.75">
      <c r="A63" s="527" t="s">
        <v>178</v>
      </c>
      <c r="B63" s="527"/>
      <c r="C63" s="527"/>
      <c r="D63" s="527"/>
      <c r="E63" s="527"/>
      <c r="F63" s="155">
        <f>'Cifras Historicas'!F40</f>
        <v>4434916898</v>
      </c>
      <c r="G63" s="155">
        <f>'Cifras Historicas'!G40</f>
        <v>4724854964.2700005</v>
      </c>
      <c r="H63" s="155">
        <f>'Cifras Historicas'!H40</f>
        <v>12411325133.240004</v>
      </c>
      <c r="I63" s="155">
        <f>'Cifras Historicas'!I40</f>
        <v>31859233808.339993</v>
      </c>
      <c r="J63" s="155">
        <f>'Cifras Historicas'!J40</f>
        <v>57190679522.930008</v>
      </c>
      <c r="K63" s="155">
        <f t="shared" si="14"/>
        <v>60317865879.243828</v>
      </c>
      <c r="L63" s="155">
        <f t="shared" si="14"/>
        <v>63928975873.7024</v>
      </c>
      <c r="M63" s="155">
        <f t="shared" si="14"/>
        <v>68250734465.204369</v>
      </c>
      <c r="N63" s="155">
        <f t="shared" si="14"/>
        <v>73250783272.125244</v>
      </c>
      <c r="O63" s="155">
        <f t="shared" si="14"/>
        <v>78239894120.789688</v>
      </c>
      <c r="Q63" s="15"/>
      <c r="R63" s="590"/>
      <c r="S63" s="590"/>
      <c r="T63" s="590"/>
      <c r="U63" s="590"/>
      <c r="V63" s="590"/>
      <c r="W63" s="590"/>
      <c r="X63" s="590"/>
      <c r="Y63" s="590"/>
      <c r="Z63" s="590"/>
      <c r="AA63" s="590"/>
      <c r="AB63" s="15"/>
      <c r="AC63" s="15"/>
      <c r="AD63" s="15"/>
      <c r="AE63" s="15"/>
      <c r="AF63" s="15"/>
      <c r="AG63" s="15"/>
      <c r="AH63" s="15"/>
      <c r="AI63" s="15"/>
    </row>
    <row r="64" spans="1:35" ht="15.75">
      <c r="A64" s="527" t="s">
        <v>120</v>
      </c>
      <c r="B64" s="527"/>
      <c r="C64" s="527"/>
      <c r="D64" s="527"/>
      <c r="E64" s="527"/>
      <c r="F64" s="155">
        <f>'Cifras Historicas'!F41</f>
        <v>296129152.51999998</v>
      </c>
      <c r="G64" s="155">
        <f>'Cifras Historicas'!G41</f>
        <v>393856735.27000004</v>
      </c>
      <c r="H64" s="155">
        <f>'Cifras Historicas'!H41</f>
        <v>524505882.86000001</v>
      </c>
      <c r="I64" s="155">
        <f>'Cifras Historicas'!I41</f>
        <v>542258827.32999992</v>
      </c>
      <c r="J64" s="155">
        <f>'Cifras Historicas'!J41</f>
        <v>446532152.83000004</v>
      </c>
      <c r="K64" s="155">
        <f t="shared" si="14"/>
        <v>470948530.9467445</v>
      </c>
      <c r="L64" s="155">
        <f t="shared" si="14"/>
        <v>499143277.5974642</v>
      </c>
      <c r="M64" s="155">
        <f t="shared" si="14"/>
        <v>532886611.02124679</v>
      </c>
      <c r="N64" s="155">
        <f t="shared" si="14"/>
        <v>571925884.14466333</v>
      </c>
      <c r="O64" s="155">
        <f t="shared" si="14"/>
        <v>610879756.1137563</v>
      </c>
      <c r="Q64" s="15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15"/>
      <c r="AC64" s="15"/>
      <c r="AD64" s="15"/>
      <c r="AE64" s="15"/>
      <c r="AF64" s="15"/>
      <c r="AG64" s="15"/>
      <c r="AH64" s="15"/>
      <c r="AI64" s="15"/>
    </row>
    <row r="65" spans="1:35" ht="15.75">
      <c r="A65" s="527" t="s">
        <v>95</v>
      </c>
      <c r="B65" s="527"/>
      <c r="C65" s="527"/>
      <c r="D65" s="527"/>
      <c r="E65" s="527"/>
      <c r="F65" s="155">
        <f>'Cifras Historicas'!F42</f>
        <v>1663303000</v>
      </c>
      <c r="G65" s="155">
        <f>'Cifras Historicas'!G42</f>
        <v>1698723388.7332048</v>
      </c>
      <c r="H65" s="155">
        <f>'Cifras Historicas'!H42</f>
        <v>1424459000</v>
      </c>
      <c r="I65" s="155">
        <f>'Cifras Historicas'!I42</f>
        <v>322691667.31</v>
      </c>
      <c r="J65" s="155">
        <f>'Cifras Historicas'!J42</f>
        <v>1833951727.4400001</v>
      </c>
      <c r="K65" s="155">
        <f t="shared" si="14"/>
        <v>1934232207.8964193</v>
      </c>
      <c r="L65" s="155">
        <f t="shared" si="14"/>
        <v>2050030821.7187622</v>
      </c>
      <c r="M65" s="155">
        <f t="shared" si="14"/>
        <v>2188618030.3440046</v>
      </c>
      <c r="N65" s="155">
        <f t="shared" si="14"/>
        <v>2348956187.2470064</v>
      </c>
      <c r="O65" s="155">
        <f t="shared" si="14"/>
        <v>2508943593.1603999</v>
      </c>
      <c r="Q65" s="262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4"/>
      <c r="AC65" s="264"/>
      <c r="AD65" s="264"/>
      <c r="AE65" s="264"/>
      <c r="AF65" s="264"/>
      <c r="AG65" s="264"/>
      <c r="AH65" s="264"/>
      <c r="AI65" s="264"/>
    </row>
    <row r="66" spans="1:35" ht="15.75">
      <c r="A66" s="527" t="s">
        <v>96</v>
      </c>
      <c r="B66" s="527"/>
      <c r="C66" s="527"/>
      <c r="D66" s="527"/>
      <c r="E66" s="527"/>
      <c r="F66" s="155">
        <f>'Cifras Historicas'!F43</f>
        <v>46710300.189999998</v>
      </c>
      <c r="G66" s="155">
        <f>'Cifras Historicas'!G43</f>
        <v>213637756.61000001</v>
      </c>
      <c r="H66" s="155">
        <f>'Cifras Historicas'!H43</f>
        <v>158150755.53</v>
      </c>
      <c r="I66" s="155">
        <f>'Cifras Historicas'!I43</f>
        <v>45686502</v>
      </c>
      <c r="J66" s="155">
        <f>'Cifras Historicas'!J43</f>
        <v>29146643</v>
      </c>
      <c r="K66" s="155">
        <f t="shared" si="14"/>
        <v>30740381.439240001</v>
      </c>
      <c r="L66" s="155">
        <f t="shared" si="14"/>
        <v>32580746.595244423</v>
      </c>
      <c r="M66" s="155">
        <f t="shared" si="14"/>
        <v>34783286.516949438</v>
      </c>
      <c r="N66" s="155">
        <f t="shared" si="14"/>
        <v>37331510.087181158</v>
      </c>
      <c r="O66" s="155">
        <f t="shared" si="14"/>
        <v>39874159.239219062</v>
      </c>
      <c r="Q66" s="262"/>
      <c r="R66" s="15"/>
      <c r="S66" s="265"/>
      <c r="T66" s="265"/>
      <c r="U66" s="265"/>
      <c r="V66" s="265"/>
      <c r="W66" s="265"/>
      <c r="X66" s="265"/>
      <c r="Y66" s="265"/>
      <c r="Z66" s="265"/>
      <c r="AA66" s="265"/>
      <c r="AB66" s="264"/>
      <c r="AC66" s="264"/>
      <c r="AD66" s="264"/>
      <c r="AE66" s="264"/>
      <c r="AF66" s="264"/>
      <c r="AG66" s="264"/>
      <c r="AH66" s="264"/>
      <c r="AI66" s="264"/>
    </row>
    <row r="67" spans="1:35" ht="15.75">
      <c r="A67" s="527" t="s">
        <v>217</v>
      </c>
      <c r="B67" s="527"/>
      <c r="C67" s="527"/>
      <c r="D67" s="527"/>
      <c r="E67" s="527"/>
      <c r="F67" s="259">
        <f>'Cifras Historicas'!F44</f>
        <v>7896731114.5699987</v>
      </c>
      <c r="G67" s="259">
        <f>'Cifras Historicas'!G44</f>
        <v>7360293814.5232058</v>
      </c>
      <c r="H67" s="259">
        <f>'Cifras Historicas'!H44</f>
        <v>15003795129.610004</v>
      </c>
      <c r="I67" s="259">
        <f>'Cifras Historicas'!I44</f>
        <v>33340744857.039997</v>
      </c>
      <c r="J67" s="259">
        <f>'Cifras Historicas'!J44</f>
        <v>59500310046.200012</v>
      </c>
      <c r="K67" s="259">
        <f>SUM(K62:K66)</f>
        <v>62753786999.52623</v>
      </c>
      <c r="L67" s="259">
        <f t="shared" ref="L67:O67" si="15">SUM(L62:L66)</f>
        <v>66510730719.613876</v>
      </c>
      <c r="M67" s="259">
        <f t="shared" si="15"/>
        <v>71007022393.086578</v>
      </c>
      <c r="N67" s="259">
        <f t="shared" si="15"/>
        <v>76208996853.604111</v>
      </c>
      <c r="O67" s="259">
        <f t="shared" si="15"/>
        <v>81399591629.303055</v>
      </c>
      <c r="Q67" s="262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4"/>
      <c r="AC67" s="264"/>
      <c r="AD67" s="264"/>
      <c r="AE67" s="264"/>
      <c r="AF67" s="264"/>
      <c r="AG67" s="264"/>
      <c r="AH67" s="264"/>
      <c r="AI67" s="264"/>
    </row>
    <row r="68" spans="1:35">
      <c r="A68" s="529" t="s">
        <v>218</v>
      </c>
      <c r="B68" s="530"/>
      <c r="C68" s="530"/>
      <c r="D68" s="530"/>
      <c r="E68" s="530"/>
      <c r="F68" s="154"/>
      <c r="G68" s="154"/>
      <c r="H68" s="154"/>
      <c r="I68" s="154"/>
      <c r="J68" s="159"/>
      <c r="K68" s="258"/>
      <c r="L68" s="258"/>
      <c r="M68" s="258"/>
      <c r="N68" s="258"/>
      <c r="O68" s="258"/>
      <c r="Q68" s="15"/>
      <c r="R68" s="15"/>
      <c r="S68" s="15"/>
      <c r="T68" s="15"/>
      <c r="U68" s="15"/>
      <c r="V68" s="15"/>
      <c r="W68" s="266"/>
      <c r="X68" s="266"/>
      <c r="Y68" s="266"/>
      <c r="Z68" s="266"/>
      <c r="AA68" s="266"/>
      <c r="AB68" s="15"/>
      <c r="AC68" s="15"/>
      <c r="AD68" s="15"/>
      <c r="AE68" s="15"/>
      <c r="AF68" s="15"/>
      <c r="AG68" s="15"/>
      <c r="AH68" s="15"/>
      <c r="AI68" s="15"/>
    </row>
    <row r="69" spans="1:35" ht="15.75">
      <c r="A69" s="527" t="s">
        <v>94</v>
      </c>
      <c r="B69" s="527"/>
      <c r="C69" s="527"/>
      <c r="D69" s="527"/>
      <c r="E69" s="527"/>
      <c r="F69" s="155">
        <f>'Cifras Historicas'!F46</f>
        <v>9317447893.4500008</v>
      </c>
      <c r="G69" s="155">
        <f>'Cifras Historicas'!G46</f>
        <v>9924850657.5</v>
      </c>
      <c r="H69" s="155">
        <f>'Cifras Historicas'!H46</f>
        <v>10003132713</v>
      </c>
      <c r="I69" s="155">
        <f>'Cifras Historicas'!I46</f>
        <v>9948757958.8699989</v>
      </c>
      <c r="J69" s="155">
        <f>'Cifras Historicas'!J46</f>
        <v>9976127172.5499992</v>
      </c>
      <c r="K69" s="155">
        <f t="shared" ref="K69:O72" si="16">+J69*(1+K$34)</f>
        <v>10521621806.345034</v>
      </c>
      <c r="L69" s="155">
        <f t="shared" si="16"/>
        <v>11151530260.647299</v>
      </c>
      <c r="M69" s="155">
        <f t="shared" si="16"/>
        <v>11905401585.092709</v>
      </c>
      <c r="N69" s="155">
        <f t="shared" si="16"/>
        <v>12777591305.216602</v>
      </c>
      <c r="O69" s="155">
        <f t="shared" si="16"/>
        <v>13647873049.014904</v>
      </c>
      <c r="Q69" s="267"/>
      <c r="R69" s="265"/>
      <c r="S69" s="265"/>
      <c r="T69" s="265"/>
      <c r="U69" s="265"/>
      <c r="V69" s="265"/>
      <c r="W69" s="268"/>
      <c r="X69" s="268"/>
      <c r="Y69" s="268"/>
      <c r="Z69" s="268"/>
      <c r="AA69" s="268"/>
      <c r="AB69" s="264"/>
      <c r="AC69" s="264"/>
      <c r="AD69" s="264"/>
      <c r="AE69" s="264"/>
      <c r="AF69" s="264"/>
      <c r="AG69" s="264"/>
      <c r="AH69" s="264"/>
      <c r="AI69" s="264"/>
    </row>
    <row r="70" spans="1:35" ht="15.75">
      <c r="A70" s="527" t="s">
        <v>99</v>
      </c>
      <c r="B70" s="527"/>
      <c r="C70" s="527"/>
      <c r="D70" s="527"/>
      <c r="E70" s="527"/>
      <c r="F70" s="155">
        <f>'Cifras Historicas'!F47</f>
        <v>421921000</v>
      </c>
      <c r="G70" s="155">
        <f>'Cifras Historicas'!G47</f>
        <v>421920000</v>
      </c>
      <c r="H70" s="155">
        <f>'Cifras Historicas'!H47</f>
        <v>304164000</v>
      </c>
      <c r="I70" s="155">
        <f>'Cifras Historicas'!I47</f>
        <v>186408000</v>
      </c>
      <c r="J70" s="155">
        <f>'Cifras Historicas'!J47</f>
        <v>68652000</v>
      </c>
      <c r="K70" s="155">
        <f t="shared" si="16"/>
        <v>72405891.359999999</v>
      </c>
      <c r="L70" s="155">
        <f t="shared" si="16"/>
        <v>76740687.263940483</v>
      </c>
      <c r="M70" s="155">
        <f t="shared" si="16"/>
        <v>81928549.574701026</v>
      </c>
      <c r="N70" s="155">
        <f t="shared" si="16"/>
        <v>87930635.116543636</v>
      </c>
      <c r="O70" s="155">
        <f t="shared" si="16"/>
        <v>93919590.674331412</v>
      </c>
    </row>
    <row r="71" spans="1:35" ht="15.75">
      <c r="A71" s="527" t="s">
        <v>156</v>
      </c>
      <c r="B71" s="527"/>
      <c r="C71" s="527"/>
      <c r="D71" s="527"/>
      <c r="E71" s="527"/>
      <c r="F71" s="155">
        <f>+'Cifras Historicas'!F48</f>
        <v>9842933055.1399994</v>
      </c>
      <c r="G71" s="155">
        <f>+'Cifras Historicas'!G48</f>
        <v>9747490312.4000015</v>
      </c>
      <c r="H71" s="155">
        <f>+'Cifras Historicas'!H48</f>
        <v>9788764756.1799984</v>
      </c>
      <c r="I71" s="155">
        <f>+'Cifras Historicas'!I48</f>
        <v>9694556162.0400009</v>
      </c>
      <c r="J71" s="155">
        <f>+'Cifras Historicas'!J48</f>
        <v>9914456921.0100002</v>
      </c>
      <c r="K71" s="155">
        <f t="shared" si="16"/>
        <v>10456579425.450829</v>
      </c>
      <c r="L71" s="155">
        <f t="shared" si="16"/>
        <v>11082593922.493719</v>
      </c>
      <c r="M71" s="155">
        <f t="shared" si="16"/>
        <v>11831804978.139101</v>
      </c>
      <c r="N71" s="155">
        <f t="shared" si="16"/>
        <v>12698603010.837572</v>
      </c>
      <c r="O71" s="155">
        <f t="shared" si="16"/>
        <v>13563504861.905718</v>
      </c>
    </row>
    <row r="72" spans="1:35" ht="15.75">
      <c r="A72" s="527" t="s">
        <v>96</v>
      </c>
      <c r="B72" s="527"/>
      <c r="C72" s="527"/>
      <c r="D72" s="527"/>
      <c r="E72" s="527"/>
      <c r="F72" s="155">
        <f>'Cifras Historicas'!F49</f>
        <v>86921281.469999999</v>
      </c>
      <c r="G72" s="155">
        <f>'Cifras Historicas'!G49</f>
        <v>164915997.99000001</v>
      </c>
      <c r="H72" s="155">
        <f>'Cifras Historicas'!H49</f>
        <v>256589228.62</v>
      </c>
      <c r="I72" s="155">
        <f>'Cifras Historicas'!I49</f>
        <v>26554190.82</v>
      </c>
      <c r="J72" s="155">
        <f>'Cifras Historicas'!J49</f>
        <v>0</v>
      </c>
      <c r="K72" s="155">
        <f t="shared" si="16"/>
        <v>0</v>
      </c>
      <c r="L72" s="155">
        <f t="shared" si="16"/>
        <v>0</v>
      </c>
      <c r="M72" s="155">
        <f t="shared" si="16"/>
        <v>0</v>
      </c>
      <c r="N72" s="155">
        <f t="shared" si="16"/>
        <v>0</v>
      </c>
      <c r="O72" s="155">
        <f t="shared" si="16"/>
        <v>0</v>
      </c>
    </row>
    <row r="73" spans="1:35" ht="15.75">
      <c r="A73" s="527" t="s">
        <v>219</v>
      </c>
      <c r="B73" s="527"/>
      <c r="C73" s="527"/>
      <c r="D73" s="527"/>
      <c r="E73" s="527"/>
      <c r="F73" s="259">
        <f>'Cifras Historicas'!F50</f>
        <v>19669223230.060001</v>
      </c>
      <c r="G73" s="259">
        <f>'Cifras Historicas'!G50</f>
        <v>20259176967.890003</v>
      </c>
      <c r="H73" s="259">
        <f>'Cifras Historicas'!H50</f>
        <v>20352650697.799999</v>
      </c>
      <c r="I73" s="259">
        <f>'Cifras Historicas'!I50</f>
        <v>19856276311.73</v>
      </c>
      <c r="J73" s="259">
        <f>'Cifras Historicas'!J50</f>
        <v>19959236093.559998</v>
      </c>
      <c r="K73" s="259">
        <f>SUM(K69:K72)</f>
        <v>21050607123.155861</v>
      </c>
      <c r="L73" s="259">
        <f t="shared" ref="L73:O73" si="17">SUM(L69:L72)</f>
        <v>22310864870.404961</v>
      </c>
      <c r="M73" s="259">
        <f t="shared" si="17"/>
        <v>23819135112.806511</v>
      </c>
      <c r="N73" s="259">
        <f t="shared" si="17"/>
        <v>25564124951.170715</v>
      </c>
      <c r="O73" s="259">
        <f t="shared" si="17"/>
        <v>27305297501.594955</v>
      </c>
    </row>
    <row r="74" spans="1:35">
      <c r="A74" s="164"/>
      <c r="B74" s="164"/>
      <c r="C74" s="164"/>
      <c r="D74" s="164"/>
      <c r="E74" s="164"/>
    </row>
    <row r="75" spans="1:35" ht="15.75">
      <c r="A75" s="531" t="s">
        <v>220</v>
      </c>
      <c r="B75" s="531"/>
      <c r="C75" s="531"/>
      <c r="D75" s="531"/>
      <c r="E75" s="531"/>
      <c r="F75" s="260">
        <f>F67+F73</f>
        <v>27565954344.630001</v>
      </c>
      <c r="G75" s="260">
        <f>G67+G73</f>
        <v>27619470782.413208</v>
      </c>
      <c r="H75" s="260">
        <f>H67+H73</f>
        <v>35356445827.410004</v>
      </c>
      <c r="I75" s="260">
        <f>I67+I73</f>
        <v>53197021168.769997</v>
      </c>
      <c r="J75" s="260">
        <f>J67+J73</f>
        <v>79459546139.76001</v>
      </c>
      <c r="K75" s="261">
        <f>+K67+K73</f>
        <v>83804394122.682098</v>
      </c>
      <c r="L75" s="261">
        <f t="shared" ref="L75:O75" si="18">+L67+L73</f>
        <v>88821595590.018829</v>
      </c>
      <c r="M75" s="261">
        <f t="shared" si="18"/>
        <v>94826157505.893097</v>
      </c>
      <c r="N75" s="261">
        <f t="shared" si="18"/>
        <v>101773121804.77483</v>
      </c>
      <c r="O75" s="261">
        <f t="shared" si="18"/>
        <v>108704889130.89801</v>
      </c>
    </row>
    <row r="76" spans="1:35">
      <c r="A76" s="164"/>
    </row>
    <row r="77" spans="1:35">
      <c r="A77" s="529" t="s">
        <v>221</v>
      </c>
      <c r="B77" s="530"/>
      <c r="C77" s="530"/>
      <c r="D77" s="530"/>
      <c r="E77" s="530"/>
      <c r="F77" s="154"/>
      <c r="G77" s="154"/>
      <c r="H77" s="154"/>
      <c r="I77" s="154"/>
      <c r="J77" s="159"/>
      <c r="K77" s="258"/>
      <c r="L77" s="258"/>
      <c r="M77" s="258"/>
      <c r="N77" s="258"/>
      <c r="O77" s="258"/>
    </row>
    <row r="78" spans="1:35" ht="15.75">
      <c r="A78" s="527" t="s">
        <v>102</v>
      </c>
      <c r="B78" s="527"/>
      <c r="C78" s="527"/>
      <c r="D78" s="527"/>
      <c r="E78" s="527"/>
      <c r="F78" s="155">
        <f>'Cifras Historicas'!F55</f>
        <v>3000000000</v>
      </c>
      <c r="G78" s="155">
        <f>'Cifras Historicas'!G55</f>
        <v>3000000000</v>
      </c>
      <c r="H78" s="155">
        <f>'Cifras Historicas'!H55</f>
        <v>3000000000</v>
      </c>
      <c r="I78" s="155">
        <f>'Cifras Historicas'!I55</f>
        <v>3000000000</v>
      </c>
      <c r="J78" s="155">
        <f>'Cifras Historicas'!J55</f>
        <v>3000000000</v>
      </c>
      <c r="K78" s="155">
        <f>+$J$78</f>
        <v>3000000000</v>
      </c>
      <c r="L78" s="155">
        <f t="shared" ref="L78:O78" si="19">+$J$78</f>
        <v>3000000000</v>
      </c>
      <c r="M78" s="155">
        <f t="shared" si="19"/>
        <v>3000000000</v>
      </c>
      <c r="N78" s="155">
        <f t="shared" si="19"/>
        <v>3000000000</v>
      </c>
      <c r="O78" s="155">
        <f t="shared" si="19"/>
        <v>3000000000</v>
      </c>
    </row>
    <row r="79" spans="1:35" ht="15.75">
      <c r="A79" s="527" t="s">
        <v>103</v>
      </c>
      <c r="B79" s="527"/>
      <c r="C79" s="527"/>
      <c r="D79" s="527"/>
      <c r="E79" s="527"/>
      <c r="F79" s="155">
        <f>'Cifras Historicas'!F56</f>
        <v>0</v>
      </c>
      <c r="G79" s="155">
        <f>'Cifras Historicas'!G56</f>
        <v>0</v>
      </c>
      <c r="H79" s="155">
        <f>'Cifras Historicas'!H56</f>
        <v>0</v>
      </c>
      <c r="I79" s="155">
        <f>'Cifras Historicas'!I56</f>
        <v>0</v>
      </c>
      <c r="J79" s="155">
        <f>'Cifras Historicas'!J56</f>
        <v>0</v>
      </c>
      <c r="K79" s="155"/>
      <c r="L79" s="155"/>
      <c r="M79" s="155"/>
      <c r="N79" s="155"/>
      <c r="O79" s="155"/>
    </row>
    <row r="80" spans="1:35" ht="15.75">
      <c r="A80" s="527" t="s">
        <v>157</v>
      </c>
      <c r="B80" s="527"/>
      <c r="C80" s="527"/>
      <c r="D80" s="527"/>
      <c r="E80" s="527"/>
      <c r="F80" s="155">
        <f>+'Cifras Historicas'!F57</f>
        <v>-3713038753</v>
      </c>
      <c r="G80" s="155">
        <f>+'Cifras Historicas'!G57</f>
        <v>-3713038753</v>
      </c>
      <c r="H80" s="155">
        <f>+'Cifras Historicas'!H57</f>
        <v>-3713038753</v>
      </c>
      <c r="I80" s="155">
        <f>+'Cifras Historicas'!I57</f>
        <v>-3713038753</v>
      </c>
      <c r="J80" s="155">
        <f>+'Cifras Historicas'!J57</f>
        <v>-3713038753</v>
      </c>
      <c r="K80" s="155">
        <f>+J80</f>
        <v>-3713038753</v>
      </c>
      <c r="L80" s="155">
        <f>+K80</f>
        <v>-3713038753</v>
      </c>
      <c r="M80" s="155">
        <f t="shared" ref="M80:O80" si="20">+L80</f>
        <v>-3713038753</v>
      </c>
      <c r="N80" s="155">
        <f t="shared" si="20"/>
        <v>-3713038753</v>
      </c>
      <c r="O80" s="155">
        <f t="shared" si="20"/>
        <v>-3713038753</v>
      </c>
    </row>
    <row r="81" spans="1:18" ht="15.75">
      <c r="A81" s="527" t="s">
        <v>104</v>
      </c>
      <c r="B81" s="527"/>
      <c r="C81" s="527"/>
      <c r="D81" s="527"/>
      <c r="E81" s="527"/>
      <c r="F81" s="155">
        <f>'Cifras Historicas'!F58</f>
        <v>493898943</v>
      </c>
      <c r="G81" s="155">
        <f>'Cifras Historicas'!G58</f>
        <v>493898943.99000001</v>
      </c>
      <c r="H81" s="155">
        <f>'Cifras Historicas'!H58</f>
        <v>493898943.99000001</v>
      </c>
      <c r="I81" s="155">
        <f>'Cifras Historicas'!I58</f>
        <v>493898943.99000001</v>
      </c>
      <c r="J81" s="155">
        <f>'Cifras Historicas'!J58</f>
        <v>493898943.99000001</v>
      </c>
      <c r="K81" s="269">
        <v>-1768678988.4142303</v>
      </c>
      <c r="L81" s="269">
        <v>-4111821741.5437469</v>
      </c>
      <c r="M81" s="269">
        <v>-6527057886.1449585</v>
      </c>
      <c r="N81" s="269">
        <v>-9052322885.150528</v>
      </c>
      <c r="O81" s="269">
        <v>-11814610427.719299</v>
      </c>
    </row>
    <row r="82" spans="1:18" ht="15.75">
      <c r="A82" s="527" t="s">
        <v>105</v>
      </c>
      <c r="B82" s="527"/>
      <c r="C82" s="527"/>
      <c r="D82" s="527"/>
      <c r="E82" s="527"/>
      <c r="F82" s="155">
        <f>'Cifras Historicas'!F59</f>
        <v>1664069505.5899968</v>
      </c>
      <c r="G82" s="155">
        <f>'Cifras Historicas'!G59</f>
        <v>2123237759.9743004</v>
      </c>
      <c r="H82" s="155">
        <f>'Cifras Historicas'!H59</f>
        <v>2297211449</v>
      </c>
      <c r="I82" s="155">
        <f>'Cifras Historicas'!I59</f>
        <v>1407140597</v>
      </c>
      <c r="J82" s="155">
        <f>'Cifras Historicas'!J59</f>
        <v>651860806.84999895</v>
      </c>
      <c r="K82" s="155">
        <f>+K106</f>
        <v>2841115034.0445104</v>
      </c>
      <c r="L82" s="155">
        <f t="shared" ref="L82:O82" si="21">+L106</f>
        <v>3011206908.9026818</v>
      </c>
      <c r="M82" s="155">
        <f t="shared" si="21"/>
        <v>3214772023.9617782</v>
      </c>
      <c r="N82" s="155">
        <f t="shared" si="21"/>
        <v>3450286222.4372196</v>
      </c>
      <c r="O82" s="155">
        <f t="shared" si="21"/>
        <v>3685285217.0474181</v>
      </c>
    </row>
    <row r="83" spans="1:18" ht="15.75">
      <c r="A83" s="527" t="s">
        <v>155</v>
      </c>
      <c r="B83" s="527"/>
      <c r="C83" s="527"/>
      <c r="D83" s="527"/>
      <c r="E83" s="527"/>
      <c r="F83" s="155">
        <f>+'Cifras Historicas'!F60</f>
        <v>2656034891.1399927</v>
      </c>
      <c r="G83" s="155">
        <f>+'Cifras Historicas'!G60</f>
        <v>4320104387.1499996</v>
      </c>
      <c r="H83" s="155">
        <f>+'Cifras Historicas'!H60</f>
        <v>6443342145.7799997</v>
      </c>
      <c r="I83" s="155">
        <f>+'Cifras Historicas'!I60</f>
        <v>8740553594.7800007</v>
      </c>
      <c r="J83" s="155">
        <f>+'Cifras Historicas'!J60</f>
        <v>10147694191.780001</v>
      </c>
      <c r="K83" s="155">
        <f>SUM(J82:J83)</f>
        <v>10799554998.629999</v>
      </c>
      <c r="L83" s="155">
        <f>SUM(K82:K83)</f>
        <v>13640670032.674509</v>
      </c>
      <c r="M83" s="155">
        <f t="shared" ref="M83:O83" si="22">SUM(L82:L83)</f>
        <v>16651876941.57719</v>
      </c>
      <c r="N83" s="155">
        <f t="shared" si="22"/>
        <v>19866648965.538967</v>
      </c>
      <c r="O83" s="155">
        <f t="shared" si="22"/>
        <v>23316935187.976189</v>
      </c>
    </row>
    <row r="84" spans="1:18" ht="15.75">
      <c r="A84" s="527" t="s">
        <v>222</v>
      </c>
      <c r="B84" s="527"/>
      <c r="C84" s="527"/>
      <c r="D84" s="527"/>
      <c r="E84" s="527"/>
      <c r="F84" s="259">
        <f>'Cifras Historicas'!F61</f>
        <v>4100964586.7299895</v>
      </c>
      <c r="G84" s="259">
        <f>'Cifras Historicas'!G61</f>
        <v>6224202338.1142998</v>
      </c>
      <c r="H84" s="259">
        <f>'Cifras Historicas'!H61</f>
        <v>8521413785.7699995</v>
      </c>
      <c r="I84" s="259">
        <f>'Cifras Historicas'!I61</f>
        <v>9928554382.7700005</v>
      </c>
      <c r="J84" s="259">
        <f>'Cifras Historicas'!J61</f>
        <v>10580415189.619999</v>
      </c>
      <c r="K84" s="259">
        <f>SUM(K78:K83)</f>
        <v>11158952291.260279</v>
      </c>
      <c r="L84" s="259">
        <f t="shared" ref="L84:O84" si="23">SUM(L78:L83)</f>
        <v>11827016447.033443</v>
      </c>
      <c r="M84" s="259">
        <f t="shared" si="23"/>
        <v>12626552326.394011</v>
      </c>
      <c r="N84" s="259">
        <f t="shared" si="23"/>
        <v>13551573549.825659</v>
      </c>
      <c r="O84" s="259">
        <f t="shared" si="23"/>
        <v>14474571224.304308</v>
      </c>
    </row>
    <row r="85" spans="1:18">
      <c r="A85" s="162"/>
      <c r="B85" s="162"/>
      <c r="C85" s="162"/>
      <c r="D85" s="162"/>
      <c r="E85" s="162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1:18" ht="15.75">
      <c r="A86" s="531" t="s">
        <v>223</v>
      </c>
      <c r="B86" s="531"/>
      <c r="C86" s="531"/>
      <c r="D86" s="531"/>
      <c r="E86" s="531"/>
      <c r="F86" s="260">
        <f>F75+F84</f>
        <v>31666918931.359989</v>
      </c>
      <c r="G86" s="260">
        <f>G75+G84</f>
        <v>33843673120.527508</v>
      </c>
      <c r="H86" s="260">
        <f>H75+H84</f>
        <v>43877859613.18</v>
      </c>
      <c r="I86" s="260">
        <f>I75+I84</f>
        <v>63125575551.539993</v>
      </c>
      <c r="J86" s="260">
        <f>J75+J84</f>
        <v>90039961329.380005</v>
      </c>
      <c r="K86" s="261">
        <f>+K84+K75</f>
        <v>94963346413.942383</v>
      </c>
      <c r="L86" s="261">
        <f t="shared" ref="L86:O86" si="24">+L84+L75</f>
        <v>100648612037.05228</v>
      </c>
      <c r="M86" s="261">
        <f t="shared" si="24"/>
        <v>107452709832.28711</v>
      </c>
      <c r="N86" s="261">
        <f t="shared" si="24"/>
        <v>115324695354.60048</v>
      </c>
      <c r="O86" s="261">
        <f t="shared" si="24"/>
        <v>123179460355.20232</v>
      </c>
    </row>
    <row r="87" spans="1:18" ht="16.5">
      <c r="F87" s="43"/>
      <c r="K87" s="43"/>
      <c r="L87" s="43"/>
      <c r="M87" s="43"/>
      <c r="N87" s="43"/>
      <c r="O87" s="43"/>
      <c r="Q87" s="591"/>
      <c r="R87" s="591"/>
    </row>
    <row r="88" spans="1:18" ht="15.75">
      <c r="A88" s="534" t="s">
        <v>224</v>
      </c>
      <c r="B88" s="535"/>
      <c r="C88" s="535"/>
      <c r="D88" s="535"/>
      <c r="E88" s="536"/>
      <c r="F88" s="270">
        <f t="shared" ref="F88:O88" si="25">F59-F86</f>
        <v>-0.41998672485351563</v>
      </c>
      <c r="G88" s="270">
        <f t="shared" si="25"/>
        <v>0</v>
      </c>
      <c r="H88" s="270">
        <f t="shared" si="25"/>
        <v>0.29000091552734375</v>
      </c>
      <c r="I88" s="270">
        <f t="shared" si="25"/>
        <v>-4.998016357421875E-2</v>
      </c>
      <c r="J88" s="270">
        <f t="shared" si="25"/>
        <v>-0.8800048828125</v>
      </c>
      <c r="K88" s="269">
        <f t="shared" si="25"/>
        <v>0</v>
      </c>
      <c r="L88" s="269">
        <f t="shared" si="25"/>
        <v>0</v>
      </c>
      <c r="M88" s="269">
        <f t="shared" si="25"/>
        <v>0</v>
      </c>
      <c r="N88" s="269">
        <f t="shared" si="25"/>
        <v>0</v>
      </c>
      <c r="O88" s="269">
        <f t="shared" si="25"/>
        <v>0</v>
      </c>
    </row>
    <row r="90" spans="1:18" ht="15.75" thickBot="1"/>
    <row r="91" spans="1:18" ht="15.75" thickBot="1">
      <c r="A91" s="592" t="s">
        <v>227</v>
      </c>
      <c r="B91" s="593"/>
      <c r="C91" s="593"/>
      <c r="D91" s="593"/>
      <c r="E91" s="593"/>
      <c r="F91" s="271">
        <f>'Cifras Historicas'!F71</f>
        <v>2016</v>
      </c>
      <c r="G91" s="271">
        <f>'Cifras Historicas'!G71</f>
        <v>2017</v>
      </c>
      <c r="H91" s="271">
        <f>'Cifras Historicas'!H71</f>
        <v>2018</v>
      </c>
      <c r="I91" s="271">
        <f>'Cifras Historicas'!I71</f>
        <v>2019</v>
      </c>
      <c r="J91" s="272">
        <f>'Cifras Historicas'!J71</f>
        <v>2020</v>
      </c>
      <c r="K91" s="255">
        <f>K43</f>
        <v>2021</v>
      </c>
      <c r="L91" s="256">
        <f>L43</f>
        <v>2022</v>
      </c>
      <c r="M91" s="256">
        <f>M43</f>
        <v>2023</v>
      </c>
      <c r="N91" s="256">
        <f>N43</f>
        <v>2024</v>
      </c>
      <c r="O91" s="257">
        <f>O43</f>
        <v>2025</v>
      </c>
    </row>
    <row r="92" spans="1:18">
      <c r="A92" s="594" t="s">
        <v>231</v>
      </c>
      <c r="B92" s="595"/>
      <c r="C92" s="595"/>
      <c r="D92" s="595"/>
      <c r="E92" s="595"/>
      <c r="F92" s="273"/>
      <c r="G92" s="273"/>
      <c r="H92" s="273"/>
      <c r="I92" s="273"/>
      <c r="J92" s="273"/>
      <c r="K92" s="596"/>
      <c r="L92" s="597"/>
      <c r="M92" s="597"/>
      <c r="N92" s="597"/>
      <c r="O92" s="598"/>
    </row>
    <row r="93" spans="1:18" ht="15.75">
      <c r="A93" s="516" t="s">
        <v>111</v>
      </c>
      <c r="B93" s="517"/>
      <c r="C93" s="517"/>
      <c r="D93" s="517"/>
      <c r="E93" s="518"/>
      <c r="F93" s="155">
        <f>+'Cifras Historicas'!F73</f>
        <v>23022505394.929996</v>
      </c>
      <c r="G93" s="155">
        <f>+'Cifras Historicas'!G73</f>
        <v>26779815999</v>
      </c>
      <c r="H93" s="155">
        <f>+'Cifras Historicas'!H73</f>
        <v>32806589929.220009</v>
      </c>
      <c r="I93" s="155">
        <f>+'Cifras Historicas'!I73</f>
        <v>48267951070.199997</v>
      </c>
      <c r="J93" s="155">
        <f>+'Cifras Historicas'!J73</f>
        <v>51117452420.909996</v>
      </c>
      <c r="K93" s="155">
        <f>+J93*(1+K$34)</f>
        <v>53912554719.285355</v>
      </c>
      <c r="L93" s="155">
        <f t="shared" ref="L93:O93" si="26">+K93*(1+L$34)</f>
        <v>57140191545.219528</v>
      </c>
      <c r="M93" s="155">
        <f t="shared" si="26"/>
        <v>61003011344.155235</v>
      </c>
      <c r="N93" s="155">
        <f t="shared" si="26"/>
        <v>65472091955.228058</v>
      </c>
      <c r="O93" s="155">
        <f t="shared" si="26"/>
        <v>69931396138.29863</v>
      </c>
    </row>
    <row r="94" spans="1:18" ht="15.75">
      <c r="A94" s="516" t="s">
        <v>112</v>
      </c>
      <c r="B94" s="517"/>
      <c r="C94" s="517"/>
      <c r="D94" s="517"/>
      <c r="E94" s="518"/>
      <c r="F94" s="155">
        <f>+'Cifras Historicas'!F74</f>
        <v>5615237133.5900002</v>
      </c>
      <c r="G94" s="155">
        <f>+'Cifras Historicas'!G74</f>
        <v>7173321978.9700012</v>
      </c>
      <c r="H94" s="155">
        <f>+'Cifras Historicas'!H74</f>
        <v>11184452872.790001</v>
      </c>
      <c r="I94" s="155">
        <f>+'Cifras Historicas'!I74</f>
        <v>25967121899.380001</v>
      </c>
      <c r="J94" s="155">
        <f>+'Cifras Historicas'!J74</f>
        <v>32551649042.330002</v>
      </c>
      <c r="K94" s="181">
        <f>+K93*'Cifras Historicas'!$P$74</f>
        <v>21861170428.808311</v>
      </c>
      <c r="L94" s="181">
        <f>+L93*'Cifras Historicas'!$P$74</f>
        <v>23169954980.040207</v>
      </c>
      <c r="M94" s="181">
        <f>+M93*'Cifras Historicas'!$P$74</f>
        <v>24736301861.578377</v>
      </c>
      <c r="N94" s="181">
        <f>+N93*'Cifras Historicas'!$P$74</f>
        <v>26548483335.957611</v>
      </c>
      <c r="O94" s="181">
        <f>+O93*'Cifras Historicas'!$P$74</f>
        <v>28356700535.969681</v>
      </c>
    </row>
    <row r="95" spans="1:18" ht="15.75">
      <c r="A95" s="528" t="s">
        <v>235</v>
      </c>
      <c r="B95" s="528"/>
      <c r="C95" s="528"/>
      <c r="D95" s="528"/>
      <c r="E95" s="528"/>
      <c r="F95" s="274">
        <f>F93-F94</f>
        <v>17407268261.339996</v>
      </c>
      <c r="G95" s="274">
        <f>G93-G94</f>
        <v>19606494020.029999</v>
      </c>
      <c r="H95" s="274">
        <f>H93-H94</f>
        <v>21622137056.430008</v>
      </c>
      <c r="I95" s="274">
        <f>I93-I94</f>
        <v>22300829170.819996</v>
      </c>
      <c r="J95" s="274">
        <f>J93-J94</f>
        <v>18565803378.579994</v>
      </c>
      <c r="K95" s="274">
        <f>+K93-K94</f>
        <v>32051384290.477043</v>
      </c>
      <c r="L95" s="274">
        <f t="shared" ref="L95:O95" si="27">+L93-L94</f>
        <v>33970236565.179321</v>
      </c>
      <c r="M95" s="274">
        <f t="shared" si="27"/>
        <v>36266709482.576859</v>
      </c>
      <c r="N95" s="274">
        <f t="shared" si="27"/>
        <v>38923608619.270447</v>
      </c>
      <c r="O95" s="274">
        <f t="shared" si="27"/>
        <v>41574695602.328949</v>
      </c>
    </row>
    <row r="96" spans="1:18" ht="15.75">
      <c r="A96" s="527" t="s">
        <v>114</v>
      </c>
      <c r="B96" s="527"/>
      <c r="C96" s="527"/>
      <c r="D96" s="527"/>
      <c r="E96" s="527"/>
      <c r="F96" s="155">
        <f>+'Cifras Historicas'!F76</f>
        <v>4085976750.1799998</v>
      </c>
      <c r="G96" s="155">
        <f>+'Cifras Historicas'!G76</f>
        <v>3919357545.5812511</v>
      </c>
      <c r="H96" s="155">
        <f>+'Cifras Historicas'!H76</f>
        <v>5018538778.2699986</v>
      </c>
      <c r="I96" s="155">
        <f>+'Cifras Historicas'!I76</f>
        <v>5262350703.539999</v>
      </c>
      <c r="J96" s="155">
        <f>+'Cifras Historicas'!J76</f>
        <v>4416771753.6700001</v>
      </c>
      <c r="K96" s="181">
        <f>+K93*'Cifras Historicas'!$P$76</f>
        <v>7248370349.0569353</v>
      </c>
      <c r="L96" s="181">
        <f>+L93*'Cifras Historicas'!$P$76</f>
        <v>7682315785.1142759</v>
      </c>
      <c r="M96" s="181">
        <f>+M93*'Cifras Historicas'!$P$76</f>
        <v>8201659537.9774637</v>
      </c>
      <c r="N96" s="181">
        <f>+N93*'Cifras Historicas'!$P$76</f>
        <v>8802513115.7296944</v>
      </c>
      <c r="O96" s="181">
        <f>+O93*'Cifras Historicas'!$P$76</f>
        <v>9402052284.0420418</v>
      </c>
    </row>
    <row r="97" spans="1:15" ht="15.75">
      <c r="A97" s="527" t="s">
        <v>115</v>
      </c>
      <c r="B97" s="527"/>
      <c r="C97" s="527"/>
      <c r="D97" s="527"/>
      <c r="E97" s="527"/>
      <c r="F97" s="155">
        <f>+'Cifras Historicas'!F77</f>
        <v>10053003694.009998</v>
      </c>
      <c r="G97" s="155">
        <f>+'Cifras Historicas'!G77</f>
        <v>11502844480.521242</v>
      </c>
      <c r="H97" s="155">
        <f>+'Cifras Historicas'!H77</f>
        <v>12038509187.26001</v>
      </c>
      <c r="I97" s="155">
        <f>+'Cifras Historicas'!I77</f>
        <v>12700022158.659996</v>
      </c>
      <c r="J97" s="155">
        <f>+'Cifras Historicas'!J77</f>
        <v>10573762900.309999</v>
      </c>
      <c r="K97" s="181">
        <f>+K93*'Cifras Historicas'!$P$77</f>
        <v>18363858962.124069</v>
      </c>
      <c r="L97" s="181">
        <f>+L93*'Cifras Historicas'!$P$77</f>
        <v>19463266470.468513</v>
      </c>
      <c r="M97" s="181">
        <f>+M93*'Cifras Historicas'!$P$77</f>
        <v>20779031942.038361</v>
      </c>
      <c r="N97" s="181">
        <f>+N93*'Cifras Historicas'!$P$77</f>
        <v>22301303822.112095</v>
      </c>
      <c r="O97" s="181">
        <f>+O93*'Cifras Historicas'!$P$77</f>
        <v>23820245625.436146</v>
      </c>
    </row>
    <row r="98" spans="1:15" ht="15.75">
      <c r="A98" s="528" t="s">
        <v>0</v>
      </c>
      <c r="B98" s="528"/>
      <c r="C98" s="528"/>
      <c r="D98" s="528"/>
      <c r="E98" s="528"/>
      <c r="F98" s="274">
        <f>F95-F96-F97</f>
        <v>3268287817.1499977</v>
      </c>
      <c r="G98" s="274">
        <f>G95-G96-G97</f>
        <v>4184291993.9275055</v>
      </c>
      <c r="H98" s="274">
        <f>H95-H96-H97</f>
        <v>4565089090.8999996</v>
      </c>
      <c r="I98" s="274">
        <f>I95-I96-I97</f>
        <v>4338456308.6200008</v>
      </c>
      <c r="J98" s="274">
        <f>J95-J96-J97</f>
        <v>3575268724.5999947</v>
      </c>
      <c r="K98" s="274">
        <f>+K95-K96-K97</f>
        <v>6439154979.2960396</v>
      </c>
      <c r="L98" s="274">
        <f t="shared" ref="L98:O98" si="28">+L95-L96-L97</f>
        <v>6824654309.5965309</v>
      </c>
      <c r="M98" s="274">
        <f t="shared" si="28"/>
        <v>7286018002.5610352</v>
      </c>
      <c r="N98" s="274">
        <f t="shared" si="28"/>
        <v>7819791681.4286575</v>
      </c>
      <c r="O98" s="274">
        <f t="shared" si="28"/>
        <v>8352397692.8507614</v>
      </c>
    </row>
    <row r="99" spans="1:15">
      <c r="A99" s="529" t="s">
        <v>240</v>
      </c>
      <c r="B99" s="530"/>
      <c r="C99" s="530"/>
      <c r="D99" s="530"/>
      <c r="E99" s="530"/>
      <c r="F99" s="154"/>
      <c r="G99" s="154"/>
      <c r="H99" s="154"/>
      <c r="I99" s="154"/>
      <c r="J99" s="159"/>
      <c r="K99" s="258"/>
      <c r="L99" s="258"/>
      <c r="M99" s="258"/>
      <c r="N99" s="258"/>
      <c r="O99" s="258"/>
    </row>
    <row r="100" spans="1:15" ht="15.75">
      <c r="A100" s="527" t="s">
        <v>116</v>
      </c>
      <c r="B100" s="527"/>
      <c r="C100" s="527"/>
      <c r="D100" s="527"/>
      <c r="E100" s="527"/>
      <c r="F100" s="155">
        <f>+'Cifras Historicas'!F80</f>
        <v>4717768607.7700005</v>
      </c>
      <c r="G100" s="155">
        <f>+'Cifras Historicas'!G80</f>
        <v>1683091506.75</v>
      </c>
      <c r="H100" s="155">
        <f>+'Cifras Historicas'!H80</f>
        <v>259993041.26999998</v>
      </c>
      <c r="I100" s="155">
        <f>+'Cifras Historicas'!I80</f>
        <v>3769101185.6399999</v>
      </c>
      <c r="J100" s="155">
        <f>+'Cifras Historicas'!J80</f>
        <v>12795129909.43</v>
      </c>
      <c r="K100" s="155">
        <f>+K93*'Cifras Historicas'!$P$80</f>
        <v>6513602933.4552832</v>
      </c>
      <c r="L100" s="155">
        <f>+L93*'Cifras Historicas'!$P$80</f>
        <v>6903559313.8753834</v>
      </c>
      <c r="M100" s="155">
        <f>+M93*'Cifras Historicas'!$P$80</f>
        <v>7370257182.3916445</v>
      </c>
      <c r="N100" s="155">
        <f>+N93*'Cifras Historicas'!$P$80</f>
        <v>7910202223.573658</v>
      </c>
      <c r="O100" s="155">
        <f>+O93*'Cifras Historicas'!$P$80</f>
        <v>8448966097.0212584</v>
      </c>
    </row>
    <row r="101" spans="1:15" ht="15.75">
      <c r="A101" s="527" t="s">
        <v>117</v>
      </c>
      <c r="B101" s="527"/>
      <c r="C101" s="527"/>
      <c r="D101" s="527"/>
      <c r="E101" s="527"/>
      <c r="F101" s="155">
        <f>+'Cifras Historicas'!F81</f>
        <v>130802060.67713402</v>
      </c>
      <c r="G101" s="155">
        <f>+'Cifras Historicas'!G81</f>
        <v>25649620.870000001</v>
      </c>
      <c r="H101" s="155">
        <f>+'Cifras Historicas'!H81</f>
        <v>218892588.44000006</v>
      </c>
      <c r="I101" s="155">
        <f>+'Cifras Historicas'!I81</f>
        <v>1075644921.3299999</v>
      </c>
      <c r="J101" s="155">
        <f>+'Cifras Historicas'!J81</f>
        <v>649105198.48999977</v>
      </c>
      <c r="K101" s="155">
        <f>+K93*'Cifras Historicas'!$P$81</f>
        <v>520737856.02470624</v>
      </c>
      <c r="L101" s="155">
        <f>+L93*'Cifras Historicas'!$P$81</f>
        <v>551913389.98919332</v>
      </c>
      <c r="M101" s="155">
        <f>+M93*'Cifras Historicas'!$P$81</f>
        <v>589224114.93593776</v>
      </c>
      <c r="N101" s="155">
        <f>+N93*'Cifras Historicas'!$P$81</f>
        <v>632390673.59614468</v>
      </c>
      <c r="O101" s="155">
        <f>+O93*'Cifras Historicas'!$P$81</f>
        <v>675462802.37477803</v>
      </c>
    </row>
    <row r="102" spans="1:15" ht="15.75">
      <c r="A102" s="527" t="s">
        <v>121</v>
      </c>
      <c r="B102" s="527"/>
      <c r="C102" s="527"/>
      <c r="D102" s="527"/>
      <c r="E102" s="527"/>
      <c r="F102" s="155">
        <f>+'Cifras Historicas'!F82</f>
        <v>5531624808.4628668</v>
      </c>
      <c r="G102" s="155">
        <f>+'Cifras Historicas'!G82</f>
        <v>2560661207.5900002</v>
      </c>
      <c r="H102" s="155">
        <f>+'Cifras Historicas'!H82</f>
        <v>1008727094.67</v>
      </c>
      <c r="I102" s="155">
        <f>+'Cifras Historicas'!I82</f>
        <v>3661814751.4799995</v>
      </c>
      <c r="J102" s="155">
        <f>+'Cifras Historicas'!J82</f>
        <v>13200338936</v>
      </c>
      <c r="K102" s="155">
        <f>+K93*'Cifras Historicas'!$P$82</f>
        <v>7555702916.5856085</v>
      </c>
      <c r="L102" s="155">
        <f>+L93*'Cifras Historicas'!$P$82</f>
        <v>8008047738.7957554</v>
      </c>
      <c r="M102" s="155">
        <f>+M93*'Cifras Historicas'!$P$82</f>
        <v>8549411786.0576963</v>
      </c>
      <c r="N102" s="155">
        <f>+N93*'Cifras Historicas'!$P$82</f>
        <v>9175741693.5042839</v>
      </c>
      <c r="O102" s="155">
        <f>+O93*'Cifras Historicas'!$P$82</f>
        <v>9800701460.2488594</v>
      </c>
    </row>
    <row r="103" spans="1:15">
      <c r="A103" s="529" t="s">
        <v>244</v>
      </c>
      <c r="B103" s="530"/>
      <c r="C103" s="530"/>
      <c r="D103" s="530"/>
      <c r="E103" s="530"/>
      <c r="F103" s="154"/>
      <c r="G103" s="154"/>
      <c r="H103" s="154"/>
      <c r="I103" s="154"/>
      <c r="J103" s="159"/>
      <c r="K103" s="258"/>
      <c r="L103" s="258"/>
      <c r="M103" s="258"/>
      <c r="N103" s="258"/>
      <c r="O103" s="258"/>
    </row>
    <row r="104" spans="1:15" ht="15.75">
      <c r="A104" s="528" t="s">
        <v>245</v>
      </c>
      <c r="B104" s="528"/>
      <c r="C104" s="528"/>
      <c r="D104" s="528"/>
      <c r="E104" s="528"/>
      <c r="F104" s="274">
        <f t="shared" ref="F104:O104" si="29">F98+F100-F101-F102</f>
        <v>2323629555.7799978</v>
      </c>
      <c r="G104" s="274">
        <f t="shared" si="29"/>
        <v>3281072672.2175055</v>
      </c>
      <c r="H104" s="274">
        <f t="shared" si="29"/>
        <v>3597462449.0599995</v>
      </c>
      <c r="I104" s="274">
        <f t="shared" si="29"/>
        <v>3370097821.4500008</v>
      </c>
      <c r="J104" s="274">
        <f t="shared" si="29"/>
        <v>2520954499.5399952</v>
      </c>
      <c r="K104" s="274">
        <f t="shared" si="29"/>
        <v>4876317140.1410093</v>
      </c>
      <c r="L104" s="274">
        <f t="shared" si="29"/>
        <v>5168252494.6869659</v>
      </c>
      <c r="M104" s="274">
        <f t="shared" si="29"/>
        <v>5517639283.9590445</v>
      </c>
      <c r="N104" s="274">
        <f t="shared" si="29"/>
        <v>5921861537.901886</v>
      </c>
      <c r="O104" s="274">
        <f t="shared" si="29"/>
        <v>6325199527.2483826</v>
      </c>
    </row>
    <row r="105" spans="1:15" ht="15.75">
      <c r="A105" s="527" t="s">
        <v>119</v>
      </c>
      <c r="B105" s="527"/>
      <c r="C105" s="527"/>
      <c r="D105" s="527"/>
      <c r="E105" s="527"/>
      <c r="F105" s="155">
        <f>+'Cifras Historicas'!F85</f>
        <v>659560050.19000006</v>
      </c>
      <c r="G105" s="155">
        <f>+'Cifras Historicas'!G85</f>
        <v>1157834912.323205</v>
      </c>
      <c r="H105" s="155">
        <f>+'Cifras Historicas'!H85</f>
        <v>1300251000</v>
      </c>
      <c r="I105" s="155">
        <f>+'Cifras Historicas'!I85</f>
        <v>1962957224.6700001</v>
      </c>
      <c r="J105" s="155">
        <f>+'Cifras Historicas'!J85</f>
        <v>1869093692.6900001</v>
      </c>
      <c r="K105" s="181">
        <f>+K93*'Cifras Historicas'!$P$85</f>
        <v>2035202106.096499</v>
      </c>
      <c r="L105" s="181">
        <f>+L93*'Cifras Historicas'!$P$85</f>
        <v>2157045585.7842841</v>
      </c>
      <c r="M105" s="181">
        <f>+M93*'Cifras Historicas'!$P$85</f>
        <v>2302867259.9972663</v>
      </c>
      <c r="N105" s="181">
        <f>+N93*'Cifras Historicas'!$P$85</f>
        <v>2471575315.4646664</v>
      </c>
      <c r="O105" s="181">
        <f>+O93*'Cifras Historicas'!$P$85</f>
        <v>2639914310.2009645</v>
      </c>
    </row>
    <row r="106" spans="1:15" ht="15.75">
      <c r="A106" s="528" t="s">
        <v>130</v>
      </c>
      <c r="B106" s="528"/>
      <c r="C106" s="528"/>
      <c r="D106" s="528"/>
      <c r="E106" s="528"/>
      <c r="F106" s="274">
        <f t="shared" ref="F106:O106" si="30">F104-F105</f>
        <v>1664069505.5899978</v>
      </c>
      <c r="G106" s="274">
        <f t="shared" si="30"/>
        <v>2123237759.8943005</v>
      </c>
      <c r="H106" s="274">
        <f t="shared" si="30"/>
        <v>2297211449.0599995</v>
      </c>
      <c r="I106" s="274">
        <f t="shared" si="30"/>
        <v>1407140596.7800007</v>
      </c>
      <c r="J106" s="274">
        <f t="shared" si="30"/>
        <v>651860806.84999514</v>
      </c>
      <c r="K106" s="274">
        <f t="shared" si="30"/>
        <v>2841115034.0445104</v>
      </c>
      <c r="L106" s="274">
        <f t="shared" si="30"/>
        <v>3011206908.9026818</v>
      </c>
      <c r="M106" s="274">
        <f t="shared" si="30"/>
        <v>3214772023.9617782</v>
      </c>
      <c r="N106" s="274">
        <f t="shared" si="30"/>
        <v>3450286222.4372196</v>
      </c>
      <c r="O106" s="274">
        <f t="shared" si="30"/>
        <v>3685285217.0474181</v>
      </c>
    </row>
    <row r="107" spans="1:15">
      <c r="G107" s="133"/>
      <c r="H107" s="133"/>
      <c r="I107" s="133"/>
      <c r="J107" s="133"/>
      <c r="K107" s="133"/>
      <c r="L107" s="133"/>
      <c r="M107" s="133"/>
      <c r="N107" s="133"/>
      <c r="O107" s="133"/>
    </row>
    <row r="108" spans="1:15">
      <c r="F108" s="275"/>
      <c r="G108" s="275"/>
      <c r="H108" s="275"/>
      <c r="I108" s="275"/>
      <c r="J108" s="275"/>
    </row>
    <row r="109" spans="1:15" ht="15.75" thickBot="1"/>
    <row r="110" spans="1:15" ht="16.5" thickBot="1">
      <c r="A110" s="44" t="s">
        <v>127</v>
      </c>
      <c r="B110" s="199"/>
      <c r="C110" s="199"/>
      <c r="D110" s="199"/>
      <c r="E110" s="199"/>
      <c r="F110" s="276">
        <f t="shared" ref="F110:O110" si="31">F91</f>
        <v>2016</v>
      </c>
      <c r="G110" s="276">
        <f t="shared" si="31"/>
        <v>2017</v>
      </c>
      <c r="H110" s="276">
        <f t="shared" si="31"/>
        <v>2018</v>
      </c>
      <c r="I110" s="276">
        <f t="shared" si="31"/>
        <v>2019</v>
      </c>
      <c r="J110" s="277">
        <f t="shared" si="31"/>
        <v>2020</v>
      </c>
      <c r="K110" s="278">
        <f t="shared" si="31"/>
        <v>2021</v>
      </c>
      <c r="L110" s="279">
        <f t="shared" si="31"/>
        <v>2022</v>
      </c>
      <c r="M110" s="279">
        <f t="shared" si="31"/>
        <v>2023</v>
      </c>
      <c r="N110" s="279">
        <f t="shared" si="31"/>
        <v>2024</v>
      </c>
      <c r="O110" s="280">
        <f t="shared" si="31"/>
        <v>2025</v>
      </c>
    </row>
    <row r="111" spans="1:15" ht="15.75">
      <c r="A111" s="31" t="s">
        <v>128</v>
      </c>
      <c r="B111" s="15"/>
      <c r="C111" s="15"/>
      <c r="D111" s="15"/>
      <c r="E111" s="15"/>
      <c r="F111" s="155">
        <f>+'Cifras Historicas'!F92</f>
        <v>624239677.62</v>
      </c>
      <c r="G111" s="155">
        <f>+'Cifras Historicas'!G92</f>
        <v>672448534.4525001</v>
      </c>
      <c r="H111" s="155">
        <f>+'Cifras Historicas'!H92</f>
        <v>544579979.86999989</v>
      </c>
      <c r="I111" s="155">
        <f>+'Cifras Historicas'!I92</f>
        <v>499801260</v>
      </c>
      <c r="J111" s="155">
        <f>+'Cifras Historicas'!J92</f>
        <v>71592658</v>
      </c>
      <c r="K111" s="281">
        <f>AVERAGE(F111:J111)</f>
        <v>482532421.9885</v>
      </c>
      <c r="L111" s="281">
        <f t="shared" ref="L111:O112" si="32">AVERAGE(G111:K111)</f>
        <v>454190970.86219996</v>
      </c>
      <c r="M111" s="281">
        <f t="shared" si="32"/>
        <v>410539458.14414001</v>
      </c>
      <c r="N111" s="281">
        <f t="shared" si="32"/>
        <v>383731353.79896796</v>
      </c>
      <c r="O111" s="281">
        <f t="shared" si="32"/>
        <v>360517372.5587616</v>
      </c>
    </row>
    <row r="112" spans="1:15" ht="16.5" thickBot="1">
      <c r="A112" s="45" t="s">
        <v>129</v>
      </c>
      <c r="B112" s="42"/>
      <c r="C112" s="42"/>
      <c r="D112" s="42"/>
      <c r="E112" s="42"/>
      <c r="F112" s="155">
        <f>+'Cifras Historicas'!F93</f>
        <v>367253033.06</v>
      </c>
      <c r="G112" s="155">
        <f>+'Cifras Historicas'!G93</f>
        <v>510204030.69000006</v>
      </c>
      <c r="H112" s="155">
        <f>+'Cifras Historicas'!H93</f>
        <v>26989121.07</v>
      </c>
      <c r="I112" s="155">
        <f>+'Cifras Historicas'!I93</f>
        <v>1330560</v>
      </c>
      <c r="J112" s="155">
        <f>+'Cifras Historicas'!J93</f>
        <v>32157915.66</v>
      </c>
      <c r="K112" s="281">
        <f>AVERAGE(F112:J112)</f>
        <v>187586932.09600002</v>
      </c>
      <c r="L112" s="281">
        <f t="shared" si="32"/>
        <v>151653711.9032</v>
      </c>
      <c r="M112" s="281">
        <f t="shared" si="32"/>
        <v>79943648.145840004</v>
      </c>
      <c r="N112" s="281">
        <f t="shared" si="32"/>
        <v>90534553.561008006</v>
      </c>
      <c r="O112" s="281">
        <f t="shared" si="32"/>
        <v>108375352.2732096</v>
      </c>
    </row>
    <row r="113" spans="1:16" ht="15.75" thickBot="1"/>
    <row r="114" spans="1:16" ht="27" customHeight="1">
      <c r="A114" s="548" t="s">
        <v>274</v>
      </c>
      <c r="B114" s="549"/>
      <c r="C114" s="549"/>
      <c r="D114" s="549"/>
      <c r="E114" s="549"/>
      <c r="F114" s="549"/>
      <c r="G114" s="549"/>
      <c r="H114" s="549"/>
      <c r="I114" s="549"/>
      <c r="J114" s="549"/>
      <c r="K114" s="549"/>
      <c r="L114" s="549"/>
      <c r="M114" s="549"/>
      <c r="N114" s="549"/>
      <c r="O114" s="549"/>
      <c r="P114" s="550"/>
    </row>
    <row r="115" spans="1:16" ht="15" customHeight="1">
      <c r="A115" s="599"/>
      <c r="B115" s="600"/>
      <c r="C115" s="600"/>
      <c r="D115" s="600"/>
      <c r="E115" s="600"/>
      <c r="F115" s="600"/>
      <c r="G115" s="600"/>
      <c r="H115" s="600"/>
      <c r="I115" s="600"/>
      <c r="J115" s="600"/>
      <c r="K115" s="600"/>
      <c r="L115" s="600"/>
      <c r="M115" s="600"/>
      <c r="N115" s="600"/>
      <c r="O115" s="600"/>
      <c r="P115" s="601"/>
    </row>
    <row r="116" spans="1:16" ht="15.75" customHeight="1">
      <c r="A116" s="602"/>
      <c r="B116" s="603"/>
      <c r="C116" s="603"/>
      <c r="D116" s="603"/>
      <c r="E116" s="604"/>
      <c r="F116" s="282">
        <f t="shared" ref="F116:O116" si="33">+F110</f>
        <v>2016</v>
      </c>
      <c r="G116" s="282">
        <f t="shared" si="33"/>
        <v>2017</v>
      </c>
      <c r="H116" s="282">
        <f t="shared" si="33"/>
        <v>2018</v>
      </c>
      <c r="I116" s="282">
        <f t="shared" si="33"/>
        <v>2019</v>
      </c>
      <c r="J116" s="282">
        <f t="shared" si="33"/>
        <v>2020</v>
      </c>
      <c r="K116" s="283">
        <f t="shared" si="33"/>
        <v>2021</v>
      </c>
      <c r="L116" s="283">
        <f t="shared" si="33"/>
        <v>2022</v>
      </c>
      <c r="M116" s="283">
        <f t="shared" si="33"/>
        <v>2023</v>
      </c>
      <c r="N116" s="283">
        <f t="shared" si="33"/>
        <v>2024</v>
      </c>
      <c r="O116" s="283">
        <f t="shared" si="33"/>
        <v>2025</v>
      </c>
      <c r="P116" s="284"/>
    </row>
    <row r="117" spans="1:16" s="286" customFormat="1" ht="12.75" customHeight="1">
      <c r="A117" s="175" t="s">
        <v>3</v>
      </c>
      <c r="B117" s="188"/>
      <c r="C117" s="188"/>
      <c r="D117" s="188"/>
      <c r="E117" s="188"/>
      <c r="F117" s="160">
        <f t="shared" ref="F117:O117" si="34">+F106/F59</f>
        <v>5.2549144715311316E-2</v>
      </c>
      <c r="G117" s="160">
        <f t="shared" si="34"/>
        <v>6.2736622952621363E-2</v>
      </c>
      <c r="H117" s="160">
        <f t="shared" si="34"/>
        <v>5.2354683416571714E-2</v>
      </c>
      <c r="I117" s="160">
        <f t="shared" si="34"/>
        <v>2.2291132943924288E-2</v>
      </c>
      <c r="J117" s="160">
        <f t="shared" si="34"/>
        <v>7.2396833276255988E-3</v>
      </c>
      <c r="K117" s="285">
        <f t="shared" si="34"/>
        <v>2.9918017228038437E-2</v>
      </c>
      <c r="L117" s="285">
        <f t="shared" si="34"/>
        <v>2.9918017228038388E-2</v>
      </c>
      <c r="M117" s="285">
        <f t="shared" si="34"/>
        <v>2.9918017228038413E-2</v>
      </c>
      <c r="N117" s="285">
        <f t="shared" si="34"/>
        <v>2.991801722803842E-2</v>
      </c>
      <c r="O117" s="285">
        <f t="shared" si="34"/>
        <v>2.9918017228038416E-2</v>
      </c>
      <c r="P117" s="2"/>
    </row>
    <row r="118" spans="1:16">
      <c r="A118" s="175" t="s">
        <v>1</v>
      </c>
      <c r="B118" s="188"/>
      <c r="C118" s="188"/>
      <c r="D118" s="188"/>
      <c r="E118" s="188"/>
      <c r="F118" s="287">
        <f t="shared" ref="F118:O118" si="35">+F106+F105+F102+F111+F112</f>
        <v>8846747074.9228649</v>
      </c>
      <c r="G118" s="287">
        <f t="shared" si="35"/>
        <v>7024386444.9500065</v>
      </c>
      <c r="H118" s="287">
        <f t="shared" si="35"/>
        <v>5177758644.6699991</v>
      </c>
      <c r="I118" s="287">
        <f t="shared" si="35"/>
        <v>7533044392.9300003</v>
      </c>
      <c r="J118" s="287">
        <f t="shared" si="35"/>
        <v>15825044009.199995</v>
      </c>
      <c r="K118" s="287">
        <f t="shared" si="35"/>
        <v>13102139410.811119</v>
      </c>
      <c r="L118" s="287">
        <f t="shared" si="35"/>
        <v>13782144916.248121</v>
      </c>
      <c r="M118" s="287">
        <f t="shared" si="35"/>
        <v>14557534176.306721</v>
      </c>
      <c r="N118" s="287">
        <f t="shared" si="35"/>
        <v>15571869138.766146</v>
      </c>
      <c r="O118" s="287">
        <f t="shared" si="35"/>
        <v>16594793712.329214</v>
      </c>
    </row>
    <row r="119" spans="1:16">
      <c r="A119" s="175" t="s">
        <v>275</v>
      </c>
      <c r="B119" s="188"/>
      <c r="C119" s="188"/>
      <c r="D119" s="188"/>
      <c r="E119" s="188"/>
      <c r="F119" s="285">
        <f t="shared" ref="F119:O119" si="36">+F118/F93</f>
        <v>0.38426517545180339</v>
      </c>
      <c r="G119" s="285">
        <f t="shared" si="36"/>
        <v>0.26230152011545965</v>
      </c>
      <c r="H119" s="285">
        <f t="shared" si="36"/>
        <v>0.15782678589396149</v>
      </c>
      <c r="I119" s="285">
        <f t="shared" si="36"/>
        <v>0.15606720869452451</v>
      </c>
      <c r="J119" s="285">
        <f t="shared" si="36"/>
        <v>0.30958201670329399</v>
      </c>
      <c r="K119" s="285">
        <f t="shared" si="36"/>
        <v>0.24302575678396263</v>
      </c>
      <c r="L119" s="285">
        <f t="shared" si="36"/>
        <v>0.24119878746540824</v>
      </c>
      <c r="M119" s="285">
        <f t="shared" si="36"/>
        <v>0.23863632065929963</v>
      </c>
      <c r="N119" s="285">
        <f t="shared" si="36"/>
        <v>0.23783979820615317</v>
      </c>
      <c r="O119" s="285">
        <f t="shared" si="36"/>
        <v>0.23730104972465879</v>
      </c>
    </row>
  </sheetData>
  <mergeCells count="92">
    <mergeCell ref="A114:P115"/>
    <mergeCell ref="A116:E116"/>
    <mergeCell ref="A101:E101"/>
    <mergeCell ref="A102:E102"/>
    <mergeCell ref="A103:E103"/>
    <mergeCell ref="A104:E104"/>
    <mergeCell ref="A105:E105"/>
    <mergeCell ref="A106:E106"/>
    <mergeCell ref="A100:E100"/>
    <mergeCell ref="A88:E88"/>
    <mergeCell ref="A91:E91"/>
    <mergeCell ref="A92:E92"/>
    <mergeCell ref="K92:O92"/>
    <mergeCell ref="A93:E93"/>
    <mergeCell ref="A94:E94"/>
    <mergeCell ref="A95:E95"/>
    <mergeCell ref="A96:E96"/>
    <mergeCell ref="A97:E97"/>
    <mergeCell ref="A98:E98"/>
    <mergeCell ref="A99:E99"/>
    <mergeCell ref="Q87:R87"/>
    <mergeCell ref="A73:E73"/>
    <mergeCell ref="A75:E75"/>
    <mergeCell ref="A77:E77"/>
    <mergeCell ref="A78:E78"/>
    <mergeCell ref="A79:E79"/>
    <mergeCell ref="A80:E80"/>
    <mergeCell ref="A81:E81"/>
    <mergeCell ref="A82:E82"/>
    <mergeCell ref="A83:E83"/>
    <mergeCell ref="A84:E84"/>
    <mergeCell ref="A86:E86"/>
    <mergeCell ref="A72:E72"/>
    <mergeCell ref="A62:E62"/>
    <mergeCell ref="A63:E63"/>
    <mergeCell ref="R63:AA63"/>
    <mergeCell ref="A64:E64"/>
    <mergeCell ref="A65:E65"/>
    <mergeCell ref="A66:E66"/>
    <mergeCell ref="A67:E67"/>
    <mergeCell ref="A68:E68"/>
    <mergeCell ref="A69:E69"/>
    <mergeCell ref="A70:E70"/>
    <mergeCell ref="A71:E71"/>
    <mergeCell ref="A61:E61"/>
    <mergeCell ref="A48:E48"/>
    <mergeCell ref="A49:E49"/>
    <mergeCell ref="A50:E50"/>
    <mergeCell ref="A51:E51"/>
    <mergeCell ref="A52:E52"/>
    <mergeCell ref="A53:E53"/>
    <mergeCell ref="A54:E54"/>
    <mergeCell ref="A55:E55"/>
    <mergeCell ref="A56:E56"/>
    <mergeCell ref="A57:E57"/>
    <mergeCell ref="A59:E59"/>
    <mergeCell ref="A47:E47"/>
    <mergeCell ref="G35:J35"/>
    <mergeCell ref="K35:O35"/>
    <mergeCell ref="A37:P37"/>
    <mergeCell ref="A38:P39"/>
    <mergeCell ref="A40:P40"/>
    <mergeCell ref="A41:P41"/>
    <mergeCell ref="A35:E35"/>
    <mergeCell ref="A42:P42"/>
    <mergeCell ref="A43:E43"/>
    <mergeCell ref="A44:E44"/>
    <mergeCell ref="A45:E45"/>
    <mergeCell ref="A46:E46"/>
    <mergeCell ref="A30:E30"/>
    <mergeCell ref="A31:E31"/>
    <mergeCell ref="A32:E32"/>
    <mergeCell ref="A33:E33"/>
    <mergeCell ref="A34:E34"/>
    <mergeCell ref="A29:E29"/>
    <mergeCell ref="R19:AB19"/>
    <mergeCell ref="A20:E20"/>
    <mergeCell ref="A22:P23"/>
    <mergeCell ref="A24:P24"/>
    <mergeCell ref="A25:P25"/>
    <mergeCell ref="A26:P26"/>
    <mergeCell ref="A19:P19"/>
    <mergeCell ref="A27:P27"/>
    <mergeCell ref="F28:J28"/>
    <mergeCell ref="K28:O28"/>
    <mergeCell ref="S28:W28"/>
    <mergeCell ref="Y28:AC28"/>
    <mergeCell ref="A6:P10"/>
    <mergeCell ref="A14:P15"/>
    <mergeCell ref="A16:P16"/>
    <mergeCell ref="A17:P17"/>
    <mergeCell ref="A18:P18"/>
  </mergeCells>
  <dataValidations disablePrompts="1" count="1">
    <dataValidation type="list" allowBlank="1" showInputMessage="1" showErrorMessage="1" sqref="F35" xr:uid="{00000000-0002-0000-0F00-000000000000}">
      <formula1>"1,2,3"</formula1>
    </dataValidation>
  </dataValidations>
  <hyperlinks>
    <hyperlink ref="A1" location="CONTENIDO!A26" display="MENU PRINCIPAL" xr:uid="{00000000-0004-0000-0F00-000000000000}"/>
  </hyperlink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16</xdr:col>
                <xdr:colOff>19050</xdr:colOff>
                <xdr:row>77</xdr:row>
                <xdr:rowOff>38100</xdr:rowOff>
              </from>
              <to>
                <xdr:col>17</xdr:col>
                <xdr:colOff>161925</xdr:colOff>
                <xdr:row>81</xdr:row>
                <xdr:rowOff>142875</xdr:rowOff>
              </to>
            </anchor>
          </controlPr>
        </control>
      </mc:Choice>
      <mc:Fallback>
        <control shapeId="17409" r:id="rId4" name="Command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8">
    <tabColor rgb="FFFF6600"/>
  </sheetPr>
  <dimension ref="A1:Q63"/>
  <sheetViews>
    <sheetView zoomScale="85" zoomScaleNormal="85" workbookViewId="0"/>
  </sheetViews>
  <sheetFormatPr baseColWidth="10" defaultRowHeight="15"/>
  <cols>
    <col min="1" max="1" width="29.5703125" style="2" customWidth="1"/>
    <col min="2" max="4" width="11.42578125" style="2"/>
    <col min="5" max="5" width="14.7109375" style="2" customWidth="1"/>
    <col min="6" max="6" width="14.85546875" style="2" customWidth="1"/>
    <col min="7" max="7" width="16" style="15" customWidth="1"/>
    <col min="8" max="8" width="14.85546875" style="2" customWidth="1"/>
    <col min="9" max="9" width="16.5703125" style="2" customWidth="1"/>
    <col min="10" max="10" width="20.5703125" style="2" customWidth="1"/>
    <col min="11" max="16384" width="11.42578125" style="2"/>
  </cols>
  <sheetData>
    <row r="1" spans="1:17" ht="27" thickBot="1">
      <c r="A1" s="147" t="s">
        <v>191</v>
      </c>
    </row>
    <row r="2" spans="1:17" ht="15.75" thickBot="1"/>
    <row r="3" spans="1:17">
      <c r="A3" s="548" t="s">
        <v>276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49"/>
      <c r="Q3" s="550"/>
    </row>
    <row r="4" spans="1:17" ht="15.75" thickBot="1">
      <c r="A4" s="551"/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3"/>
    </row>
    <row r="5" spans="1:17" ht="23.25">
      <c r="A5" s="537" t="str">
        <f>+'Analisis Financiero'!A40:P40</f>
        <v>FARMACÉUTICAS SAS</v>
      </c>
      <c r="B5" s="538"/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8"/>
      <c r="O5" s="538"/>
      <c r="P5" s="538"/>
      <c r="Q5" s="554"/>
    </row>
    <row r="6" spans="1:17">
      <c r="A6" s="494" t="s">
        <v>277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555"/>
    </row>
    <row r="7" spans="1:17">
      <c r="A7" s="494" t="s">
        <v>207</v>
      </c>
      <c r="B7" s="495"/>
      <c r="C7" s="495"/>
      <c r="D7" s="495"/>
      <c r="E7" s="495"/>
      <c r="F7" s="495"/>
      <c r="G7" s="495"/>
      <c r="H7" s="495"/>
      <c r="I7" s="495"/>
      <c r="J7" s="495"/>
      <c r="K7" s="495"/>
      <c r="L7" s="495"/>
      <c r="M7" s="495"/>
      <c r="N7" s="495"/>
      <c r="O7" s="495"/>
      <c r="P7" s="495"/>
      <c r="Q7" s="555"/>
    </row>
    <row r="8" spans="1:17" ht="15.75" thickBot="1">
      <c r="A8" s="519" t="s">
        <v>208</v>
      </c>
      <c r="B8" s="520"/>
      <c r="C8" s="520"/>
      <c r="D8" s="520"/>
      <c r="E8" s="520"/>
      <c r="F8" s="520"/>
      <c r="G8" s="520"/>
      <c r="H8" s="520"/>
      <c r="I8" s="520"/>
      <c r="J8" s="520"/>
      <c r="K8" s="520"/>
      <c r="L8" s="520"/>
      <c r="M8" s="520"/>
      <c r="N8" s="520"/>
      <c r="O8" s="520"/>
      <c r="P8" s="520"/>
      <c r="Q8" s="563"/>
    </row>
    <row r="9" spans="1:17" ht="15" customHeight="1">
      <c r="A9" s="605" t="s">
        <v>278</v>
      </c>
      <c r="B9" s="606"/>
      <c r="C9" s="606"/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606"/>
      <c r="Q9" s="607"/>
    </row>
    <row r="10" spans="1:17" ht="15.75" customHeight="1" thickBot="1">
      <c r="A10" s="608"/>
      <c r="B10" s="609"/>
      <c r="C10" s="609"/>
      <c r="D10" s="609"/>
      <c r="E10" s="609"/>
      <c r="F10" s="609"/>
      <c r="G10" s="609"/>
      <c r="H10" s="609"/>
      <c r="I10" s="609"/>
      <c r="J10" s="609"/>
      <c r="K10" s="609"/>
      <c r="L10" s="609"/>
      <c r="M10" s="609"/>
      <c r="N10" s="609"/>
      <c r="O10" s="609"/>
      <c r="P10" s="609"/>
      <c r="Q10" s="610"/>
    </row>
    <row r="11" spans="1:17" ht="20.25" thickBot="1">
      <c r="A11" s="612" t="s">
        <v>279</v>
      </c>
      <c r="B11" s="613"/>
      <c r="C11" s="613"/>
      <c r="D11" s="614"/>
      <c r="G11" s="2"/>
    </row>
    <row r="12" spans="1:17">
      <c r="A12" s="615" t="s">
        <v>280</v>
      </c>
      <c r="B12" s="616"/>
      <c r="C12" s="616"/>
      <c r="D12" s="617"/>
      <c r="E12" s="288">
        <f>'Analisis Financiero'!K91</f>
        <v>2021</v>
      </c>
      <c r="F12" s="288">
        <f>'Valoración Sin Estrategia'!G56</f>
        <v>2022</v>
      </c>
      <c r="G12" s="288">
        <f>'Valoración Sin Estrategia'!H56</f>
        <v>2023</v>
      </c>
      <c r="H12" s="288">
        <f>'Valoración Sin Estrategia'!I56</f>
        <v>2024</v>
      </c>
      <c r="I12" s="288">
        <f>'Valoración Sin Estrategia'!J56</f>
        <v>2025</v>
      </c>
      <c r="J12" s="288" t="s">
        <v>281</v>
      </c>
    </row>
    <row r="13" spans="1:17">
      <c r="A13" s="611" t="s">
        <v>282</v>
      </c>
      <c r="B13" s="611"/>
      <c r="C13" s="611"/>
      <c r="D13" s="611"/>
      <c r="E13" s="289">
        <v>0</v>
      </c>
      <c r="F13" s="289">
        <v>0</v>
      </c>
      <c r="G13" s="289">
        <v>0</v>
      </c>
      <c r="H13" s="289">
        <v>0</v>
      </c>
      <c r="I13" s="289">
        <v>0</v>
      </c>
      <c r="J13" s="290">
        <f>SUM(E13:I13)</f>
        <v>0</v>
      </c>
    </row>
    <row r="14" spans="1:17">
      <c r="A14" s="611" t="s">
        <v>283</v>
      </c>
      <c r="B14" s="611"/>
      <c r="C14" s="611"/>
      <c r="D14" s="611"/>
      <c r="E14" s="291">
        <f>+E13*'Analisis Financiero'!K94</f>
        <v>0</v>
      </c>
      <c r="F14" s="291">
        <f>+F13*'Analisis Financiero'!L94</f>
        <v>0</v>
      </c>
      <c r="G14" s="291">
        <f>+G13*'Analisis Financiero'!M94</f>
        <v>0</v>
      </c>
      <c r="H14" s="291">
        <f>+H13*'Analisis Financiero'!N94</f>
        <v>0</v>
      </c>
      <c r="I14" s="291">
        <f>+I13*'Analisis Financiero'!O94</f>
        <v>0</v>
      </c>
      <c r="J14" s="292">
        <f>SUM(E14:I14)</f>
        <v>0</v>
      </c>
    </row>
    <row r="15" spans="1:17">
      <c r="G15" s="2"/>
      <c r="H15" s="293" t="s">
        <v>284</v>
      </c>
      <c r="I15" s="89" t="s">
        <v>285</v>
      </c>
      <c r="J15" s="88">
        <f>+'Cifras Historicas'!U74</f>
        <v>5.4931275773550392E-3</v>
      </c>
    </row>
    <row r="16" spans="1:17">
      <c r="G16" s="2"/>
    </row>
    <row r="17" spans="1:10">
      <c r="A17" s="618" t="s">
        <v>286</v>
      </c>
      <c r="B17" s="619"/>
      <c r="C17" s="619"/>
      <c r="D17" s="620"/>
      <c r="E17" s="288">
        <f>E12</f>
        <v>2021</v>
      </c>
      <c r="F17" s="288">
        <f>F12</f>
        <v>2022</v>
      </c>
      <c r="G17" s="288">
        <f>G12</f>
        <v>2023</v>
      </c>
      <c r="H17" s="288">
        <f>H12</f>
        <v>2024</v>
      </c>
      <c r="I17" s="288">
        <f>I12</f>
        <v>2025</v>
      </c>
      <c r="J17" s="288" t="s">
        <v>281</v>
      </c>
    </row>
    <row r="18" spans="1:10">
      <c r="A18" s="611" t="s">
        <v>287</v>
      </c>
      <c r="B18" s="611"/>
      <c r="C18" s="611"/>
      <c r="D18" s="611"/>
      <c r="E18" s="289">
        <v>5.0000000000000001E-3</v>
      </c>
      <c r="F18" s="289">
        <v>0.01</v>
      </c>
      <c r="G18" s="289">
        <v>2.5000000000000001E-2</v>
      </c>
      <c r="H18" s="289">
        <v>1.4999999999999999E-2</v>
      </c>
      <c r="I18" s="289">
        <v>1.4999999999999999E-2</v>
      </c>
      <c r="J18" s="290">
        <f>SUM(E18:I18)</f>
        <v>7.0000000000000007E-2</v>
      </c>
    </row>
    <row r="19" spans="1:10">
      <c r="A19" s="611" t="s">
        <v>288</v>
      </c>
      <c r="B19" s="611"/>
      <c r="C19" s="611"/>
      <c r="D19" s="611"/>
      <c r="E19" s="291">
        <f>+E18*'Analisis Financiero'!K96</f>
        <v>36241851.745284677</v>
      </c>
      <c r="F19" s="291">
        <f>+F18*'Analisis Financiero'!L96</f>
        <v>76823157.851142764</v>
      </c>
      <c r="G19" s="291">
        <f>+G18*'Analisis Financiero'!M96</f>
        <v>205041488.4494366</v>
      </c>
      <c r="H19" s="291">
        <f>+H18*'Analisis Financiero'!N96</f>
        <v>132037696.7359454</v>
      </c>
      <c r="I19" s="291">
        <f>+I18*'Analisis Financiero'!O96</f>
        <v>141030784.26063061</v>
      </c>
      <c r="J19" s="292">
        <f>SUM(E19:I19)</f>
        <v>591174979.04244006</v>
      </c>
    </row>
    <row r="20" spans="1:10">
      <c r="G20" s="2"/>
      <c r="H20" s="293" t="s">
        <v>284</v>
      </c>
      <c r="I20" s="89" t="s">
        <v>285</v>
      </c>
      <c r="J20" s="88">
        <f>+'Cifras Historicas'!U75</f>
        <v>0.16010000000000002</v>
      </c>
    </row>
    <row r="21" spans="1:10">
      <c r="E21" s="294"/>
      <c r="F21" s="294"/>
      <c r="G21" s="294"/>
      <c r="H21" s="294"/>
      <c r="I21" s="294"/>
    </row>
    <row r="22" spans="1:10">
      <c r="A22" s="618" t="s">
        <v>289</v>
      </c>
      <c r="B22" s="619"/>
      <c r="C22" s="619"/>
      <c r="D22" s="620"/>
      <c r="E22" s="295">
        <f>E17</f>
        <v>2021</v>
      </c>
      <c r="F22" s="295">
        <f>F17</f>
        <v>2022</v>
      </c>
      <c r="G22" s="295">
        <f>G17</f>
        <v>2023</v>
      </c>
      <c r="H22" s="295">
        <f>H17</f>
        <v>2024</v>
      </c>
      <c r="I22" s="295">
        <f>I17</f>
        <v>2025</v>
      </c>
      <c r="J22" s="288" t="s">
        <v>281</v>
      </c>
    </row>
    <row r="23" spans="1:10">
      <c r="A23" s="611" t="s">
        <v>290</v>
      </c>
      <c r="B23" s="611"/>
      <c r="C23" s="611"/>
      <c r="D23" s="611"/>
      <c r="E23" s="289">
        <v>2.5000000000000001E-2</v>
      </c>
      <c r="F23" s="289">
        <v>4.4999999999999998E-2</v>
      </c>
      <c r="G23" s="289">
        <v>5.5E-2</v>
      </c>
      <c r="H23" s="289">
        <v>3.5000000000000003E-2</v>
      </c>
      <c r="I23" s="289">
        <v>2.5000000000000001E-2</v>
      </c>
      <c r="J23" s="290">
        <f>SUM(E23:I23)</f>
        <v>0.185</v>
      </c>
    </row>
    <row r="24" spans="1:10">
      <c r="A24" s="611" t="s">
        <v>291</v>
      </c>
      <c r="B24" s="611"/>
      <c r="C24" s="611"/>
      <c r="D24" s="611"/>
      <c r="E24" s="291">
        <f>+E23*'Analisis Financiero'!K97</f>
        <v>459096474.05310178</v>
      </c>
      <c r="F24" s="291">
        <f>+F23*'Analisis Financiero'!L97</f>
        <v>875846991.17108309</v>
      </c>
      <c r="G24" s="291">
        <f>+G23*'Analisis Financiero'!M97</f>
        <v>1142846756.8121099</v>
      </c>
      <c r="H24" s="291">
        <f>+H23*'Analisis Financiero'!N97</f>
        <v>780545633.7739234</v>
      </c>
      <c r="I24" s="291">
        <f>+I23*'Analisis Financiero'!O97</f>
        <v>595506140.63590372</v>
      </c>
      <c r="J24" s="292">
        <f>SUM(E24:I24)</f>
        <v>3853841996.4461222</v>
      </c>
    </row>
    <row r="25" spans="1:10">
      <c r="A25" s="2" t="s">
        <v>292</v>
      </c>
      <c r="G25" s="2"/>
    </row>
    <row r="26" spans="1:10">
      <c r="G26" s="2"/>
    </row>
    <row r="27" spans="1:10">
      <c r="A27" s="618" t="s">
        <v>293</v>
      </c>
      <c r="B27" s="619"/>
      <c r="C27" s="619"/>
      <c r="D27" s="620"/>
      <c r="E27" s="288">
        <f>E22</f>
        <v>2021</v>
      </c>
      <c r="F27" s="288">
        <f>F22</f>
        <v>2022</v>
      </c>
      <c r="G27" s="288">
        <f>G22</f>
        <v>2023</v>
      </c>
      <c r="H27" s="288">
        <f>H22</f>
        <v>2024</v>
      </c>
      <c r="I27" s="288">
        <f>I22</f>
        <v>2025</v>
      </c>
      <c r="J27" s="2" t="s">
        <v>294</v>
      </c>
    </row>
    <row r="28" spans="1:10">
      <c r="A28" s="611" t="s">
        <v>295</v>
      </c>
      <c r="B28" s="611"/>
      <c r="C28" s="611"/>
      <c r="D28" s="611"/>
      <c r="E28" s="291">
        <f>+'Analisis Financiero'!K94-'Estrategias Operativas'!E14</f>
        <v>21861170428.808311</v>
      </c>
      <c r="F28" s="291">
        <f>+'Analisis Financiero'!L94-'Estrategias Operativas'!F14</f>
        <v>23169954980.040207</v>
      </c>
      <c r="G28" s="291">
        <f>+'Analisis Financiero'!M94-'Estrategias Operativas'!G14</f>
        <v>24736301861.578377</v>
      </c>
      <c r="H28" s="291">
        <f>+'Analisis Financiero'!N94-'Estrategias Operativas'!H14</f>
        <v>26548483335.957611</v>
      </c>
      <c r="I28" s="291">
        <f>+'Analisis Financiero'!O94-'Estrategias Operativas'!I14</f>
        <v>28356700535.969681</v>
      </c>
    </row>
    <row r="29" spans="1:10">
      <c r="A29" s="611" t="s">
        <v>296</v>
      </c>
      <c r="B29" s="611"/>
      <c r="C29" s="611"/>
      <c r="D29" s="611"/>
      <c r="E29" s="291">
        <f>+'Analisis Financiero'!K96-'Estrategias Operativas'!E19</f>
        <v>7212128497.3116503</v>
      </c>
      <c r="F29" s="291">
        <f>+'Analisis Financiero'!L96-'Estrategias Operativas'!F19</f>
        <v>7605492627.263133</v>
      </c>
      <c r="G29" s="291">
        <f>+'Analisis Financiero'!M96-'Estrategias Operativas'!G19</f>
        <v>7996618049.5280275</v>
      </c>
      <c r="H29" s="291">
        <f>+'Analisis Financiero'!N96-'Estrategias Operativas'!H19</f>
        <v>8670475418.9937496</v>
      </c>
      <c r="I29" s="291">
        <f>+'Analisis Financiero'!O96-'Estrategias Operativas'!I19</f>
        <v>9261021499.7814102</v>
      </c>
    </row>
    <row r="30" spans="1:10">
      <c r="A30" s="611" t="s">
        <v>297</v>
      </c>
      <c r="B30" s="611"/>
      <c r="C30" s="611"/>
      <c r="D30" s="611"/>
      <c r="E30" s="291">
        <f>+'Analisis Financiero'!K97-'Estrategias Operativas'!E24</f>
        <v>17904762488.070969</v>
      </c>
      <c r="F30" s="291">
        <f>+'Analisis Financiero'!L97-'Estrategias Operativas'!F24</f>
        <v>18587419479.297432</v>
      </c>
      <c r="G30" s="291">
        <f>+'Analisis Financiero'!M97-'Estrategias Operativas'!G24</f>
        <v>19636185185.22625</v>
      </c>
      <c r="H30" s="291">
        <f>+'Analisis Financiero'!N97-'Estrategias Operativas'!H24</f>
        <v>21520758188.338173</v>
      </c>
      <c r="I30" s="291">
        <f>+'Analisis Financiero'!O97-'Estrategias Operativas'!I24</f>
        <v>23224739484.800243</v>
      </c>
    </row>
    <row r="31" spans="1:10">
      <c r="G31" s="2"/>
    </row>
    <row r="32" spans="1:10" ht="15.75" thickBot="1">
      <c r="G32" s="2"/>
    </row>
    <row r="33" spans="1:11" ht="20.25" thickBot="1">
      <c r="A33" s="612" t="s">
        <v>298</v>
      </c>
      <c r="B33" s="613"/>
      <c r="C33" s="613"/>
      <c r="D33" s="614"/>
      <c r="E33" s="288">
        <f>E27</f>
        <v>2021</v>
      </c>
      <c r="F33" s="288">
        <f>F27</f>
        <v>2022</v>
      </c>
      <c r="G33" s="288">
        <f>G27</f>
        <v>2023</v>
      </c>
      <c r="H33" s="288">
        <f>H27</f>
        <v>2024</v>
      </c>
      <c r="I33" s="288">
        <f>I27</f>
        <v>2025</v>
      </c>
      <c r="J33" s="2" t="s">
        <v>299</v>
      </c>
    </row>
    <row r="34" spans="1:11">
      <c r="A34" s="611" t="s">
        <v>300</v>
      </c>
      <c r="B34" s="611"/>
      <c r="C34" s="611"/>
      <c r="D34" s="611"/>
      <c r="E34" s="189">
        <f>+'Analisis Financiero'!K34</f>
        <v>5.4680000000000062E-2</v>
      </c>
      <c r="F34" s="189">
        <f>+'Analisis Financiero'!L34</f>
        <v>5.9868000000000032E-2</v>
      </c>
      <c r="G34" s="189">
        <f>+'Analisis Financiero'!M34</f>
        <v>6.760250000000001E-2</v>
      </c>
      <c r="H34" s="189">
        <f>+'Analisis Financiero'!N34</f>
        <v>7.3260000000000103E-2</v>
      </c>
      <c r="I34" s="189">
        <f>+'Analisis Financiero'!O34</f>
        <v>6.8109999999999893E-2</v>
      </c>
    </row>
    <row r="35" spans="1:11">
      <c r="A35" s="618" t="s">
        <v>301</v>
      </c>
      <c r="B35" s="619"/>
      <c r="C35" s="619"/>
      <c r="D35" s="620"/>
      <c r="E35" s="288">
        <f>E27</f>
        <v>2021</v>
      </c>
      <c r="F35" s="288">
        <f>F27</f>
        <v>2022</v>
      </c>
      <c r="G35" s="288">
        <f>G27</f>
        <v>2023</v>
      </c>
      <c r="H35" s="288">
        <f>H27</f>
        <v>2024</v>
      </c>
      <c r="I35" s="288">
        <f>I27</f>
        <v>2025</v>
      </c>
      <c r="J35" s="288" t="s">
        <v>281</v>
      </c>
    </row>
    <row r="36" spans="1:11">
      <c r="A36" s="611" t="s">
        <v>302</v>
      </c>
      <c r="B36" s="611"/>
      <c r="C36" s="611"/>
      <c r="D36" s="611"/>
      <c r="E36" s="289">
        <v>0.01</v>
      </c>
      <c r="F36" s="289">
        <v>0.02</v>
      </c>
      <c r="G36" s="289">
        <v>3.5000000000000003E-2</v>
      </c>
      <c r="H36" s="289">
        <v>0.04</v>
      </c>
      <c r="I36" s="289">
        <v>0.05</v>
      </c>
      <c r="J36" s="290">
        <f>SUM(E36:I36)</f>
        <v>0.15500000000000003</v>
      </c>
      <c r="K36" s="118">
        <v>0.04</v>
      </c>
    </row>
    <row r="37" spans="1:11">
      <c r="A37" s="611" t="s">
        <v>303</v>
      </c>
      <c r="B37" s="611"/>
      <c r="C37" s="611"/>
      <c r="D37" s="611"/>
      <c r="E37" s="285">
        <f>+(1+E34)*(1+E36)-1</f>
        <v>6.5226800000000029E-2</v>
      </c>
      <c r="F37" s="285">
        <f t="shared" ref="F37:I37" si="0">+(1+F34)*(1+F36)-1</f>
        <v>8.1065359999999975E-2</v>
      </c>
      <c r="G37" s="285">
        <f t="shared" si="0"/>
        <v>0.10496858749999993</v>
      </c>
      <c r="H37" s="285">
        <f t="shared" si="0"/>
        <v>0.11619040000000025</v>
      </c>
      <c r="I37" s="285">
        <f t="shared" si="0"/>
        <v>0.12151549999999989</v>
      </c>
      <c r="J37" s="290">
        <f>SUM(E37:I37)</f>
        <v>0.48896664750000007</v>
      </c>
      <c r="K37" s="118"/>
    </row>
    <row r="38" spans="1:11">
      <c r="A38" s="611" t="s">
        <v>304</v>
      </c>
      <c r="B38" s="611"/>
      <c r="C38" s="611"/>
      <c r="D38" s="611"/>
      <c r="E38" s="296">
        <f>+'Analisis Financiero'!J93*(1+'Estrategias Operativas'!E37)</f>
        <v>54451680266.47821</v>
      </c>
      <c r="F38" s="296">
        <f>+E38*(1+F37)</f>
        <v>58865825329.885162</v>
      </c>
      <c r="G38" s="296">
        <f t="shared" ref="G38:I38" si="1">+F38*(1+G37)</f>
        <v>65044887866.784927</v>
      </c>
      <c r="H38" s="296">
        <f t="shared" si="1"/>
        <v>72602479405.981827</v>
      </c>
      <c r="I38" s="296">
        <f t="shared" si="1"/>
        <v>81424805992.23941</v>
      </c>
    </row>
    <row r="39" spans="1:11">
      <c r="F39" s="275"/>
      <c r="G39" s="275"/>
      <c r="H39" s="275"/>
      <c r="I39" s="275"/>
    </row>
    <row r="40" spans="1:11">
      <c r="E40" s="297"/>
      <c r="G40" s="2"/>
    </row>
    <row r="42" spans="1:11">
      <c r="A42" s="1" t="s">
        <v>305</v>
      </c>
      <c r="B42" s="262"/>
      <c r="H42" s="1"/>
      <c r="I42" s="1"/>
      <c r="J42" s="1"/>
    </row>
    <row r="43" spans="1:11">
      <c r="B43" s="15"/>
    </row>
    <row r="44" spans="1:11">
      <c r="A44" s="2" t="s">
        <v>306</v>
      </c>
      <c r="B44" s="15"/>
    </row>
    <row r="45" spans="1:11">
      <c r="A45" s="2" t="s">
        <v>307</v>
      </c>
      <c r="B45" s="15"/>
    </row>
    <row r="46" spans="1:11">
      <c r="A46" s="2" t="s">
        <v>308</v>
      </c>
      <c r="B46" s="15"/>
    </row>
    <row r="50" spans="1:4">
      <c r="A50" s="1" t="s">
        <v>309</v>
      </c>
      <c r="B50" s="1"/>
      <c r="C50" s="1"/>
    </row>
    <row r="52" spans="1:4">
      <c r="A52" s="2">
        <v>1</v>
      </c>
      <c r="B52" s="2" t="s">
        <v>310</v>
      </c>
    </row>
    <row r="53" spans="1:4">
      <c r="A53" s="2">
        <v>2</v>
      </c>
      <c r="B53" s="2" t="s">
        <v>311</v>
      </c>
    </row>
    <row r="54" spans="1:4">
      <c r="A54" s="2">
        <v>3</v>
      </c>
      <c r="B54" s="2" t="s">
        <v>312</v>
      </c>
    </row>
    <row r="55" spans="1:4">
      <c r="A55" s="2">
        <v>4</v>
      </c>
      <c r="B55" s="2" t="s">
        <v>313</v>
      </c>
    </row>
    <row r="57" spans="1:4">
      <c r="A57" s="2">
        <v>5</v>
      </c>
      <c r="B57" s="1" t="s">
        <v>314</v>
      </c>
    </row>
    <row r="58" spans="1:4">
      <c r="B58" s="2" t="s">
        <v>315</v>
      </c>
    </row>
    <row r="59" spans="1:4">
      <c r="B59" s="2" t="s">
        <v>316</v>
      </c>
    </row>
    <row r="60" spans="1:4">
      <c r="B60" s="2" t="s">
        <v>317</v>
      </c>
    </row>
    <row r="61" spans="1:4">
      <c r="B61" s="2" t="s">
        <v>318</v>
      </c>
    </row>
    <row r="62" spans="1:4">
      <c r="D62" s="2" t="s">
        <v>319</v>
      </c>
    </row>
    <row r="63" spans="1:4">
      <c r="D63" s="2" t="s">
        <v>320</v>
      </c>
    </row>
  </sheetData>
  <mergeCells count="26">
    <mergeCell ref="A37:D37"/>
    <mergeCell ref="A38:D38"/>
    <mergeCell ref="A29:D29"/>
    <mergeCell ref="A30:D30"/>
    <mergeCell ref="A33:D33"/>
    <mergeCell ref="A34:D34"/>
    <mergeCell ref="A35:D35"/>
    <mergeCell ref="A36:D36"/>
    <mergeCell ref="A28:D28"/>
    <mergeCell ref="A11:D11"/>
    <mergeCell ref="A12:D12"/>
    <mergeCell ref="A13:D13"/>
    <mergeCell ref="A14:D14"/>
    <mergeCell ref="A17:D17"/>
    <mergeCell ref="A18:D18"/>
    <mergeCell ref="A19:D19"/>
    <mergeCell ref="A22:D22"/>
    <mergeCell ref="A23:D23"/>
    <mergeCell ref="A24:D24"/>
    <mergeCell ref="A27:D27"/>
    <mergeCell ref="A9:Q10"/>
    <mergeCell ref="A3:Q4"/>
    <mergeCell ref="A5:Q5"/>
    <mergeCell ref="A6:Q6"/>
    <mergeCell ref="A7:Q7"/>
    <mergeCell ref="A8:Q8"/>
  </mergeCells>
  <hyperlinks>
    <hyperlink ref="A1" location="CONTENIDO!A27" display="MENU PRINCIPAL" xr:uid="{00000000-0004-0000-1000-000000000000}"/>
  </hyperlink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9">
    <tabColor rgb="FF00B0F0"/>
  </sheetPr>
  <dimension ref="A1:AI119"/>
  <sheetViews>
    <sheetView zoomScale="70" zoomScaleNormal="70" workbookViewId="0"/>
  </sheetViews>
  <sheetFormatPr baseColWidth="10" defaultRowHeight="15"/>
  <cols>
    <col min="1" max="1" width="34.140625" style="2" customWidth="1"/>
    <col min="2" max="5" width="11.42578125" style="2"/>
    <col min="6" max="9" width="18.28515625" style="2" bestFit="1" customWidth="1"/>
    <col min="10" max="10" width="18.28515625" style="2" customWidth="1"/>
    <col min="11" max="11" width="18.28515625" style="2" bestFit="1" customWidth="1"/>
    <col min="12" max="15" width="19.140625" style="2" bestFit="1" customWidth="1"/>
    <col min="16" max="16" width="11.42578125" style="2" customWidth="1"/>
    <col min="17" max="17" width="27.85546875" style="2" customWidth="1"/>
    <col min="18" max="18" width="22.140625" style="2" bestFit="1" customWidth="1"/>
    <col min="19" max="28" width="7.42578125" style="2" bestFit="1" customWidth="1"/>
    <col min="29" max="34" width="11.42578125" style="2"/>
    <col min="35" max="35" width="24.85546875" style="2" customWidth="1"/>
    <col min="36" max="16384" width="11.42578125" style="2"/>
  </cols>
  <sheetData>
    <row r="1" spans="1:16" ht="27" thickBot="1">
      <c r="A1" s="147" t="s">
        <v>191</v>
      </c>
    </row>
    <row r="5" spans="1:16" ht="15.75" thickBot="1"/>
    <row r="6" spans="1:16">
      <c r="A6" s="621" t="s">
        <v>204</v>
      </c>
      <c r="B6" s="622"/>
      <c r="C6" s="622"/>
      <c r="D6" s="622"/>
      <c r="E6" s="622"/>
      <c r="F6" s="622"/>
      <c r="G6" s="622"/>
      <c r="H6" s="622"/>
      <c r="I6" s="622"/>
      <c r="J6" s="622"/>
      <c r="K6" s="622"/>
      <c r="L6" s="622"/>
      <c r="M6" s="622"/>
      <c r="N6" s="622"/>
      <c r="O6" s="622"/>
      <c r="P6" s="623"/>
    </row>
    <row r="7" spans="1:16">
      <c r="A7" s="624"/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6"/>
    </row>
    <row r="8" spans="1:16">
      <c r="A8" s="624"/>
      <c r="B8" s="625"/>
      <c r="C8" s="625"/>
      <c r="D8" s="625"/>
      <c r="E8" s="625"/>
      <c r="F8" s="625"/>
      <c r="G8" s="625"/>
      <c r="H8" s="625"/>
      <c r="I8" s="625"/>
      <c r="J8" s="625"/>
      <c r="K8" s="625"/>
      <c r="L8" s="625"/>
      <c r="M8" s="625"/>
      <c r="N8" s="625"/>
      <c r="O8" s="625"/>
      <c r="P8" s="626"/>
    </row>
    <row r="9" spans="1:16">
      <c r="A9" s="624"/>
      <c r="B9" s="625"/>
      <c r="C9" s="625"/>
      <c r="D9" s="625"/>
      <c r="E9" s="625"/>
      <c r="F9" s="625"/>
      <c r="G9" s="625"/>
      <c r="H9" s="625"/>
      <c r="I9" s="625"/>
      <c r="J9" s="625"/>
      <c r="K9" s="625"/>
      <c r="L9" s="625"/>
      <c r="M9" s="625"/>
      <c r="N9" s="625"/>
      <c r="O9" s="625"/>
      <c r="P9" s="626"/>
    </row>
    <row r="10" spans="1:16">
      <c r="A10" s="624"/>
      <c r="B10" s="625"/>
      <c r="C10" s="625"/>
      <c r="D10" s="625"/>
      <c r="E10" s="625"/>
      <c r="F10" s="625"/>
      <c r="G10" s="625"/>
      <c r="H10" s="625"/>
      <c r="I10" s="625"/>
      <c r="J10" s="625"/>
      <c r="K10" s="625"/>
      <c r="L10" s="625"/>
      <c r="M10" s="625"/>
      <c r="N10" s="625"/>
      <c r="O10" s="625"/>
      <c r="P10" s="626"/>
    </row>
    <row r="11" spans="1:16" ht="15.75" thickBot="1">
      <c r="A11" s="298"/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299"/>
      <c r="N11" s="299"/>
      <c r="O11" s="299"/>
      <c r="P11" s="300"/>
    </row>
    <row r="13" spans="1:16" ht="15.75" thickBo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6">
      <c r="A14" s="627" t="s">
        <v>251</v>
      </c>
      <c r="B14" s="628"/>
      <c r="C14" s="628"/>
      <c r="D14" s="628"/>
      <c r="E14" s="628"/>
      <c r="F14" s="628"/>
      <c r="G14" s="628"/>
      <c r="H14" s="628"/>
      <c r="I14" s="628"/>
      <c r="J14" s="628"/>
      <c r="K14" s="628"/>
      <c r="L14" s="628"/>
      <c r="M14" s="628"/>
      <c r="N14" s="628"/>
      <c r="O14" s="628"/>
      <c r="P14" s="629"/>
    </row>
    <row r="15" spans="1:16" ht="15.75" thickBot="1">
      <c r="A15" s="630"/>
      <c r="B15" s="631"/>
      <c r="C15" s="631"/>
      <c r="D15" s="631"/>
      <c r="E15" s="631"/>
      <c r="F15" s="631"/>
      <c r="G15" s="631"/>
      <c r="H15" s="631"/>
      <c r="I15" s="631"/>
      <c r="J15" s="631"/>
      <c r="K15" s="631"/>
      <c r="L15" s="631"/>
      <c r="M15" s="631"/>
      <c r="N15" s="631"/>
      <c r="O15" s="631"/>
      <c r="P15" s="632"/>
    </row>
    <row r="16" spans="1:16" ht="23.25">
      <c r="A16" s="537" t="str">
        <f>+'Estrategias Operativas'!A5:Q5</f>
        <v>FARMACÉUTICAS SAS</v>
      </c>
      <c r="B16" s="538"/>
      <c r="C16" s="538"/>
      <c r="D16" s="538"/>
      <c r="E16" s="538"/>
      <c r="F16" s="538"/>
      <c r="G16" s="538"/>
      <c r="H16" s="538"/>
      <c r="I16" s="538"/>
      <c r="J16" s="538"/>
      <c r="K16" s="538"/>
      <c r="L16" s="538"/>
      <c r="M16" s="538"/>
      <c r="N16" s="538"/>
      <c r="O16" s="538"/>
      <c r="P16" s="554"/>
    </row>
    <row r="17" spans="1:28">
      <c r="A17" s="494" t="s">
        <v>252</v>
      </c>
      <c r="B17" s="495"/>
      <c r="C17" s="495"/>
      <c r="D17" s="495"/>
      <c r="E17" s="495"/>
      <c r="F17" s="495"/>
      <c r="G17" s="495"/>
      <c r="H17" s="495"/>
      <c r="I17" s="495"/>
      <c r="J17" s="495"/>
      <c r="K17" s="495"/>
      <c r="L17" s="495"/>
      <c r="M17" s="495"/>
      <c r="N17" s="495"/>
      <c r="O17" s="495"/>
      <c r="P17" s="555"/>
    </row>
    <row r="18" spans="1:28" ht="15.75" thickBot="1">
      <c r="A18" s="494" t="s">
        <v>207</v>
      </c>
      <c r="B18" s="495"/>
      <c r="C18" s="495"/>
      <c r="D18" s="495"/>
      <c r="E18" s="495"/>
      <c r="F18" s="495"/>
      <c r="G18" s="495"/>
      <c r="H18" s="495"/>
      <c r="I18" s="495"/>
      <c r="J18" s="495"/>
      <c r="K18" s="495"/>
      <c r="L18" s="495"/>
      <c r="M18" s="495"/>
      <c r="N18" s="495"/>
      <c r="O18" s="495"/>
      <c r="P18" s="555"/>
    </row>
    <row r="19" spans="1:28" ht="20.25" thickBot="1">
      <c r="A19" s="519" t="s">
        <v>208</v>
      </c>
      <c r="B19" s="520"/>
      <c r="C19" s="520"/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63"/>
      <c r="R19" s="559" t="s">
        <v>253</v>
      </c>
      <c r="S19" s="560"/>
      <c r="T19" s="560"/>
      <c r="U19" s="560"/>
      <c r="V19" s="560"/>
      <c r="W19" s="560"/>
      <c r="X19" s="560"/>
      <c r="Y19" s="560"/>
      <c r="Z19" s="560"/>
      <c r="AA19" s="560"/>
      <c r="AB19" s="561"/>
    </row>
    <row r="20" spans="1:28" ht="15.75" thickBot="1">
      <c r="A20" s="562"/>
      <c r="B20" s="562"/>
      <c r="C20" s="562"/>
      <c r="D20" s="562"/>
      <c r="E20" s="562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R20" s="214" t="s">
        <v>253</v>
      </c>
      <c r="S20" s="215">
        <f>F29</f>
        <v>2016</v>
      </c>
      <c r="T20" s="215">
        <f t="shared" ref="T20:AB20" si="0">G29</f>
        <v>2017</v>
      </c>
      <c r="U20" s="215">
        <f t="shared" si="0"/>
        <v>2018</v>
      </c>
      <c r="V20" s="215">
        <f t="shared" si="0"/>
        <v>2019</v>
      </c>
      <c r="W20" s="216">
        <f t="shared" si="0"/>
        <v>2020</v>
      </c>
      <c r="X20" s="217">
        <f t="shared" si="0"/>
        <v>2021</v>
      </c>
      <c r="Y20" s="218">
        <f t="shared" si="0"/>
        <v>2022</v>
      </c>
      <c r="Z20" s="218">
        <f t="shared" si="0"/>
        <v>2023</v>
      </c>
      <c r="AA20" s="218">
        <f t="shared" si="0"/>
        <v>2024</v>
      </c>
      <c r="AB20" s="219">
        <f t="shared" si="0"/>
        <v>2025</v>
      </c>
    </row>
    <row r="21" spans="1:28" ht="15.75" thickBot="1">
      <c r="R21" s="220" t="s">
        <v>254</v>
      </c>
      <c r="S21" s="221">
        <f>'Analisis Financiero'!S21</f>
        <v>0.15</v>
      </c>
      <c r="T21" s="221">
        <f>'Analisis Financiero'!T21</f>
        <v>0.14000000000000001</v>
      </c>
      <c r="U21" s="221">
        <f>'Analisis Financiero'!U21</f>
        <v>0.115</v>
      </c>
      <c r="V21" s="221">
        <f>'Analisis Financiero'!V21</f>
        <v>0.12</v>
      </c>
      <c r="W21" s="222">
        <f>'Analisis Financiero'!W21</f>
        <v>0.105</v>
      </c>
      <c r="X21" s="223">
        <f>_xlfn.FORECAST.LINEAR(X20,S21:W21,S20:W20)</f>
        <v>9.3000000000003524E-2</v>
      </c>
      <c r="Y21" s="223">
        <f t="shared" ref="Y21:AB21" si="1">_xlfn.FORECAST.LINEAR(Y20,T21:X21,T20:X20)</f>
        <v>8.3400000000001029E-2</v>
      </c>
      <c r="Z21" s="223">
        <f t="shared" si="1"/>
        <v>7.6220000000002841E-2</v>
      </c>
      <c r="AA21" s="223">
        <f t="shared" si="1"/>
        <v>6.2776000000003052E-2</v>
      </c>
      <c r="AB21" s="223">
        <f t="shared" si="1"/>
        <v>5.371080000000461E-2</v>
      </c>
    </row>
    <row r="22" spans="1:28">
      <c r="A22" s="627" t="s">
        <v>255</v>
      </c>
      <c r="B22" s="628"/>
      <c r="C22" s="628"/>
      <c r="D22" s="628"/>
      <c r="E22" s="628"/>
      <c r="F22" s="628"/>
      <c r="G22" s="628"/>
      <c r="H22" s="628"/>
      <c r="I22" s="628"/>
      <c r="J22" s="628"/>
      <c r="K22" s="628"/>
      <c r="L22" s="628"/>
      <c r="M22" s="628"/>
      <c r="N22" s="628"/>
      <c r="O22" s="628"/>
      <c r="P22" s="629"/>
    </row>
    <row r="23" spans="1:28" ht="15.75" thickBot="1">
      <c r="A23" s="630"/>
      <c r="B23" s="631"/>
      <c r="C23" s="631"/>
      <c r="D23" s="631"/>
      <c r="E23" s="631"/>
      <c r="F23" s="631"/>
      <c r="G23" s="631"/>
      <c r="H23" s="631"/>
      <c r="I23" s="631"/>
      <c r="J23" s="631"/>
      <c r="K23" s="631"/>
      <c r="L23" s="631"/>
      <c r="M23" s="631"/>
      <c r="N23" s="631"/>
      <c r="O23" s="631"/>
      <c r="P23" s="632"/>
    </row>
    <row r="24" spans="1:28" ht="23.25">
      <c r="A24" s="537" t="str">
        <f>+A16</f>
        <v>FARMACÉUTICAS SAS</v>
      </c>
      <c r="B24" s="538"/>
      <c r="C24" s="538"/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54"/>
    </row>
    <row r="25" spans="1:28">
      <c r="A25" s="494" t="s">
        <v>258</v>
      </c>
      <c r="B25" s="495"/>
      <c r="C25" s="495"/>
      <c r="D25" s="495"/>
      <c r="E25" s="495"/>
      <c r="F25" s="495"/>
      <c r="G25" s="495"/>
      <c r="H25" s="495"/>
      <c r="I25" s="495"/>
      <c r="J25" s="495"/>
      <c r="K25" s="495"/>
      <c r="L25" s="495"/>
      <c r="M25" s="495"/>
      <c r="N25" s="495"/>
      <c r="O25" s="495"/>
      <c r="P25" s="555"/>
    </row>
    <row r="26" spans="1:28" ht="15.75" thickBot="1">
      <c r="A26" s="494"/>
      <c r="B26" s="495"/>
      <c r="C26" s="495"/>
      <c r="D26" s="495"/>
      <c r="E26" s="495"/>
      <c r="F26" s="495"/>
      <c r="G26" s="495"/>
      <c r="H26" s="495"/>
      <c r="I26" s="495"/>
      <c r="J26" s="495"/>
      <c r="K26" s="495"/>
      <c r="L26" s="495"/>
      <c r="M26" s="495"/>
      <c r="N26" s="495"/>
      <c r="O26" s="495"/>
      <c r="P26" s="555"/>
    </row>
    <row r="27" spans="1:28" ht="26.25" thickBot="1">
      <c r="A27" s="633" t="s">
        <v>259</v>
      </c>
      <c r="B27" s="634"/>
      <c r="C27" s="634"/>
      <c r="D27" s="634"/>
      <c r="E27" s="634"/>
      <c r="F27" s="634"/>
      <c r="G27" s="634"/>
      <c r="H27" s="634"/>
      <c r="I27" s="634"/>
      <c r="J27" s="634"/>
      <c r="K27" s="634"/>
      <c r="L27" s="634"/>
      <c r="M27" s="634"/>
      <c r="N27" s="634"/>
      <c r="O27" s="634"/>
      <c r="P27" s="635"/>
    </row>
    <row r="28" spans="1:28" ht="22.5" customHeight="1" thickBot="1">
      <c r="A28" s="301"/>
      <c r="B28" s="302"/>
      <c r="C28" s="302"/>
      <c r="D28" s="302"/>
      <c r="E28" s="302"/>
      <c r="F28" s="569" t="s">
        <v>260</v>
      </c>
      <c r="G28" s="570"/>
      <c r="H28" s="570"/>
      <c r="I28" s="570"/>
      <c r="J28" s="570"/>
      <c r="K28" s="569" t="s">
        <v>261</v>
      </c>
      <c r="L28" s="570"/>
      <c r="M28" s="570"/>
      <c r="N28" s="570"/>
      <c r="O28" s="570"/>
      <c r="P28" s="226"/>
    </row>
    <row r="29" spans="1:28" ht="15.75" customHeight="1" thickBot="1">
      <c r="A29" s="636" t="s">
        <v>321</v>
      </c>
      <c r="B29" s="637"/>
      <c r="C29" s="637"/>
      <c r="D29" s="637"/>
      <c r="E29" s="638"/>
      <c r="F29" s="303">
        <f>'Analisis Financiero'!F29</f>
        <v>2016</v>
      </c>
      <c r="G29" s="304">
        <f>'Analisis Financiero'!G29</f>
        <v>2017</v>
      </c>
      <c r="H29" s="304">
        <f>'Analisis Financiero'!H29</f>
        <v>2018</v>
      </c>
      <c r="I29" s="304">
        <f>'Analisis Financiero'!I29</f>
        <v>2019</v>
      </c>
      <c r="J29" s="304">
        <f>'Analisis Financiero'!J29</f>
        <v>2020</v>
      </c>
      <c r="K29" s="235">
        <f>'Analisis Financiero'!K29</f>
        <v>2021</v>
      </c>
      <c r="L29" s="235">
        <f>'Analisis Financiero'!L29</f>
        <v>2022</v>
      </c>
      <c r="M29" s="235">
        <f>'Analisis Financiero'!M29</f>
        <v>2023</v>
      </c>
      <c r="N29" s="235">
        <f>'Analisis Financiero'!N29</f>
        <v>2024</v>
      </c>
      <c r="O29" s="305">
        <f>'Analisis Financiero'!O29</f>
        <v>2025</v>
      </c>
      <c r="P29" s="253"/>
    </row>
    <row r="30" spans="1:28" ht="15.75" customHeight="1">
      <c r="A30" s="639" t="s">
        <v>266</v>
      </c>
      <c r="B30" s="640"/>
      <c r="C30" s="640"/>
      <c r="D30" s="640"/>
      <c r="E30" s="641"/>
      <c r="F30" s="165">
        <f>+'Analisis Financiero'!F30</f>
        <v>6.7699999999999996E-2</v>
      </c>
      <c r="G30" s="165">
        <f>+'Analisis Financiero'!G30</f>
        <v>5.7500000000000002E-2</v>
      </c>
      <c r="H30" s="165">
        <f>+'Analisis Financiero'!H30</f>
        <v>4.0899999999999999E-2</v>
      </c>
      <c r="I30" s="165">
        <f>+'Analisis Financiero'!I30</f>
        <v>3.1800000000000002E-2</v>
      </c>
      <c r="J30" s="165">
        <f>+'Analisis Financiero'!J30</f>
        <v>3.7999999999999999E-2</v>
      </c>
      <c r="K30" s="642" t="s">
        <v>322</v>
      </c>
      <c r="L30" s="643"/>
      <c r="M30" s="643"/>
      <c r="N30" s="643"/>
      <c r="O30" s="644"/>
      <c r="P30" s="233"/>
    </row>
    <row r="31" spans="1:28" ht="15.75" customHeight="1">
      <c r="A31" s="572" t="s">
        <v>267</v>
      </c>
      <c r="B31" s="527"/>
      <c r="C31" s="527"/>
      <c r="D31" s="527"/>
      <c r="E31" s="573"/>
      <c r="F31" s="165">
        <f>+'Analisis Financiero'!F31</f>
        <v>0.03</v>
      </c>
      <c r="G31" s="165">
        <f>+'Analisis Financiero'!G31</f>
        <v>2.1000000000000001E-2</v>
      </c>
      <c r="H31" s="165">
        <f>+'Analisis Financiero'!H31</f>
        <v>1.4E-2</v>
      </c>
      <c r="I31" s="165">
        <f>+'Analisis Financiero'!I31</f>
        <v>2.5000000000000001E-2</v>
      </c>
      <c r="J31" s="165">
        <f>+'Analisis Financiero'!J31</f>
        <v>3.3000000000000002E-2</v>
      </c>
      <c r="K31" s="645"/>
      <c r="L31" s="646"/>
      <c r="M31" s="646"/>
      <c r="N31" s="646"/>
      <c r="O31" s="647"/>
      <c r="P31" s="233"/>
    </row>
    <row r="32" spans="1:28" ht="15.75" customHeight="1">
      <c r="A32" s="572" t="s">
        <v>268</v>
      </c>
      <c r="B32" s="527"/>
      <c r="C32" s="527"/>
      <c r="D32" s="527"/>
      <c r="E32" s="573"/>
      <c r="F32" s="306"/>
      <c r="G32" s="165">
        <f>+'Analisis Financiero'!G32</f>
        <v>0.27593093483285958</v>
      </c>
      <c r="H32" s="165">
        <f>+'Analisis Financiero'!H32</f>
        <v>8.1937921626996646E-2</v>
      </c>
      <c r="I32" s="165">
        <f>+'Analisis Financiero'!I32</f>
        <v>-0.38745708526057043</v>
      </c>
      <c r="J32" s="165">
        <f>+'Analisis Financiero'!J32</f>
        <v>-0.53674792103812052</v>
      </c>
      <c r="K32" s="645"/>
      <c r="L32" s="646"/>
      <c r="M32" s="646"/>
      <c r="N32" s="646"/>
      <c r="O32" s="647"/>
      <c r="P32" s="233"/>
    </row>
    <row r="33" spans="1:16" ht="20.25" customHeight="1" thickBot="1">
      <c r="A33" s="574" t="s">
        <v>269</v>
      </c>
      <c r="B33" s="528"/>
      <c r="C33" s="528"/>
      <c r="D33" s="528"/>
      <c r="E33" s="575"/>
      <c r="F33" s="306"/>
      <c r="G33" s="165">
        <f>+'Analisis Financiero'!G33</f>
        <v>7.9707500000000042E-2</v>
      </c>
      <c r="H33" s="165">
        <f>+'Analisis Financiero'!H33</f>
        <v>5.5472599999999872E-2</v>
      </c>
      <c r="I33" s="165">
        <f>+'Analisis Financiero'!I33</f>
        <v>5.7595000000000063E-2</v>
      </c>
      <c r="J33" s="165">
        <f>+'Analisis Financiero'!J33</f>
        <v>7.225400000000004E-2</v>
      </c>
      <c r="K33" s="648"/>
      <c r="L33" s="649"/>
      <c r="M33" s="649"/>
      <c r="N33" s="649"/>
      <c r="O33" s="650"/>
      <c r="P33" s="233"/>
    </row>
    <row r="34" spans="1:16" ht="20.25" customHeight="1" thickBot="1">
      <c r="A34" s="651" t="s">
        <v>270</v>
      </c>
      <c r="B34" s="652"/>
      <c r="C34" s="652"/>
      <c r="D34" s="652"/>
      <c r="E34" s="653"/>
      <c r="F34" s="307"/>
      <c r="G34" s="308">
        <f>+'Analisis Financiero'!G34</f>
        <v>7.9707500000000042E-2</v>
      </c>
      <c r="H34" s="308">
        <f>+'Analisis Financiero'!H34</f>
        <v>5.5472599999999872E-2</v>
      </c>
      <c r="I34" s="308">
        <f>+'Analisis Financiero'!I34</f>
        <v>5.7595000000000063E-2</v>
      </c>
      <c r="J34" s="308">
        <f>+'Analisis Financiero'!J34</f>
        <v>7.225400000000004E-2</v>
      </c>
      <c r="K34" s="309">
        <f>+'Estrategias Operativas'!E37</f>
        <v>6.5226800000000029E-2</v>
      </c>
      <c r="L34" s="309">
        <f>+'Estrategias Operativas'!F37</f>
        <v>8.1065359999999975E-2</v>
      </c>
      <c r="M34" s="309">
        <f>+'Estrategias Operativas'!G37</f>
        <v>0.10496858749999993</v>
      </c>
      <c r="N34" s="309">
        <f>+'Estrategias Operativas'!H37</f>
        <v>0.11619040000000025</v>
      </c>
      <c r="O34" s="309">
        <f>+'Estrategias Operativas'!I37</f>
        <v>0.12151549999999989</v>
      </c>
      <c r="P34" s="253"/>
    </row>
    <row r="35" spans="1:16" ht="15" customHeight="1">
      <c r="A35" s="654"/>
      <c r="B35" s="655"/>
      <c r="C35" s="655"/>
      <c r="D35" s="655"/>
      <c r="E35" s="655"/>
      <c r="G35" s="656" t="s">
        <v>268</v>
      </c>
      <c r="H35" s="656"/>
      <c r="I35" s="656"/>
      <c r="J35" s="656"/>
      <c r="K35" s="657" t="s">
        <v>323</v>
      </c>
      <c r="L35" s="657"/>
      <c r="M35" s="657"/>
      <c r="N35" s="657"/>
      <c r="O35" s="658"/>
      <c r="P35" s="253"/>
    </row>
    <row r="36" spans="1:16" ht="15.75" customHeight="1" thickBot="1">
      <c r="P36" s="253"/>
    </row>
    <row r="37" spans="1:16" ht="29.25" customHeight="1" thickBot="1">
      <c r="A37" s="659"/>
      <c r="B37" s="660"/>
      <c r="C37" s="660"/>
      <c r="D37" s="660"/>
      <c r="E37" s="660"/>
      <c r="F37" s="660"/>
      <c r="G37" s="660"/>
      <c r="H37" s="660"/>
      <c r="I37" s="660"/>
      <c r="J37" s="660"/>
      <c r="K37" s="660"/>
      <c r="L37" s="660"/>
      <c r="M37" s="660"/>
      <c r="N37" s="660"/>
      <c r="O37" s="661"/>
      <c r="P37" s="253"/>
    </row>
    <row r="38" spans="1:16">
      <c r="A38" s="627" t="s">
        <v>251</v>
      </c>
      <c r="B38" s="628"/>
      <c r="C38" s="628"/>
      <c r="D38" s="628"/>
      <c r="E38" s="628"/>
      <c r="F38" s="628"/>
      <c r="G38" s="628"/>
      <c r="H38" s="628"/>
      <c r="I38" s="628"/>
      <c r="J38" s="628"/>
      <c r="K38" s="628"/>
      <c r="L38" s="628"/>
      <c r="M38" s="628"/>
      <c r="N38" s="628"/>
      <c r="O38" s="628"/>
      <c r="P38" s="629"/>
    </row>
    <row r="39" spans="1:16" ht="15.75" thickBot="1">
      <c r="A39" s="630"/>
      <c r="B39" s="631"/>
      <c r="C39" s="631"/>
      <c r="D39" s="631"/>
      <c r="E39" s="631"/>
      <c r="F39" s="631"/>
      <c r="G39" s="631"/>
      <c r="H39" s="631"/>
      <c r="I39" s="631"/>
      <c r="J39" s="631"/>
      <c r="K39" s="631"/>
      <c r="L39" s="631"/>
      <c r="M39" s="631"/>
      <c r="N39" s="631"/>
      <c r="O39" s="631"/>
      <c r="P39" s="632"/>
    </row>
    <row r="40" spans="1:16" ht="23.25">
      <c r="A40" s="537" t="str">
        <f>+A24</f>
        <v>FARMACÉUTICAS SAS</v>
      </c>
      <c r="B40" s="538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54"/>
    </row>
    <row r="41" spans="1:16">
      <c r="A41" s="494" t="s">
        <v>273</v>
      </c>
      <c r="B41" s="495"/>
      <c r="C41" s="495"/>
      <c r="D41" s="495"/>
      <c r="E41" s="495"/>
      <c r="F41" s="495"/>
      <c r="G41" s="495"/>
      <c r="H41" s="495"/>
      <c r="I41" s="495"/>
      <c r="J41" s="495"/>
      <c r="K41" s="495"/>
      <c r="L41" s="495"/>
      <c r="M41" s="495"/>
      <c r="N41" s="495"/>
      <c r="O41" s="495"/>
      <c r="P41" s="555"/>
    </row>
    <row r="42" spans="1:16" ht="15.75" thickBot="1">
      <c r="A42" s="587"/>
      <c r="B42" s="588"/>
      <c r="C42" s="588"/>
      <c r="D42" s="588"/>
      <c r="E42" s="588"/>
      <c r="F42" s="588"/>
      <c r="G42" s="588"/>
      <c r="H42" s="588"/>
      <c r="I42" s="588"/>
      <c r="J42" s="588"/>
      <c r="K42" s="588"/>
      <c r="L42" s="588"/>
      <c r="M42" s="588"/>
      <c r="N42" s="588"/>
      <c r="O42" s="588"/>
      <c r="P42" s="589"/>
    </row>
    <row r="43" spans="1:16" ht="15.75" thickBot="1">
      <c r="A43" s="521" t="s">
        <v>209</v>
      </c>
      <c r="B43" s="521"/>
      <c r="C43" s="521"/>
      <c r="D43" s="521"/>
      <c r="E43" s="521"/>
      <c r="F43" s="150">
        <f t="shared" ref="F43:O43" si="2">F29</f>
        <v>2016</v>
      </c>
      <c r="G43" s="150">
        <f t="shared" si="2"/>
        <v>2017</v>
      </c>
      <c r="H43" s="150">
        <f t="shared" si="2"/>
        <v>2018</v>
      </c>
      <c r="I43" s="150">
        <f t="shared" si="2"/>
        <v>2019</v>
      </c>
      <c r="J43" s="254">
        <f t="shared" si="2"/>
        <v>2020</v>
      </c>
      <c r="K43" s="255">
        <f t="shared" si="2"/>
        <v>2021</v>
      </c>
      <c r="L43" s="256">
        <f t="shared" si="2"/>
        <v>2022</v>
      </c>
      <c r="M43" s="256">
        <f t="shared" si="2"/>
        <v>2023</v>
      </c>
      <c r="N43" s="256">
        <f t="shared" si="2"/>
        <v>2024</v>
      </c>
      <c r="O43" s="257">
        <f t="shared" si="2"/>
        <v>2025</v>
      </c>
    </row>
    <row r="44" spans="1:16">
      <c r="A44" s="522" t="s">
        <v>210</v>
      </c>
      <c r="B44" s="523"/>
      <c r="C44" s="523"/>
      <c r="D44" s="523"/>
      <c r="E44" s="523"/>
      <c r="F44" s="154"/>
      <c r="G44" s="154"/>
      <c r="H44" s="154"/>
      <c r="I44" s="154"/>
      <c r="J44" s="154"/>
      <c r="K44" s="258"/>
      <c r="L44" s="258"/>
      <c r="M44" s="258"/>
      <c r="N44" s="258"/>
      <c r="O44" s="258"/>
    </row>
    <row r="45" spans="1:16" ht="15.75">
      <c r="A45" s="527" t="s">
        <v>79</v>
      </c>
      <c r="B45" s="527"/>
      <c r="C45" s="527"/>
      <c r="D45" s="527"/>
      <c r="E45" s="527"/>
      <c r="F45" s="155">
        <f>'Cifras Historicas'!F22</f>
        <v>577436825.11000001</v>
      </c>
      <c r="G45" s="155">
        <f>'Cifras Historicas'!G22</f>
        <v>635552182.89999998</v>
      </c>
      <c r="H45" s="155">
        <f>'Cifras Historicas'!H22</f>
        <v>923368854.54000008</v>
      </c>
      <c r="I45" s="155">
        <f>'Cifras Historicas'!I22</f>
        <v>6525458484.6300001</v>
      </c>
      <c r="J45" s="155">
        <f>'Cifras Historicas'!J22</f>
        <v>20263865147.600002</v>
      </c>
      <c r="K45" s="155">
        <f t="shared" ref="K45:O49" si="3">+J45*(1+K$34)</f>
        <v>21585612226.809479</v>
      </c>
      <c r="L45" s="155">
        <f t="shared" si="3"/>
        <v>23335457652.796192</v>
      </c>
      <c r="M45" s="155">
        <f t="shared" si="3"/>
        <v>25784947681.276272</v>
      </c>
      <c r="N45" s="155">
        <f t="shared" si="3"/>
        <v>28780911066.342842</v>
      </c>
      <c r="O45" s="155">
        <f t="shared" si="3"/>
        <v>32278237865.025021</v>
      </c>
    </row>
    <row r="46" spans="1:16" ht="15.75">
      <c r="A46" s="527" t="s">
        <v>80</v>
      </c>
      <c r="B46" s="527"/>
      <c r="C46" s="527"/>
      <c r="D46" s="527"/>
      <c r="E46" s="527"/>
      <c r="F46" s="155">
        <f>'Cifras Historicas'!F23</f>
        <v>0</v>
      </c>
      <c r="G46" s="155">
        <f>'Cifras Historicas'!G23</f>
        <v>0</v>
      </c>
      <c r="H46" s="155">
        <f>'Cifras Historicas'!H23</f>
        <v>0</v>
      </c>
      <c r="I46" s="155">
        <f>'Cifras Historicas'!I23</f>
        <v>0</v>
      </c>
      <c r="J46" s="155">
        <f>'Cifras Historicas'!J23</f>
        <v>0</v>
      </c>
      <c r="K46" s="155">
        <f t="shared" si="3"/>
        <v>0</v>
      </c>
      <c r="L46" s="155">
        <f t="shared" si="3"/>
        <v>0</v>
      </c>
      <c r="M46" s="155">
        <f t="shared" si="3"/>
        <v>0</v>
      </c>
      <c r="N46" s="155">
        <f t="shared" si="3"/>
        <v>0</v>
      </c>
      <c r="O46" s="155">
        <f t="shared" si="3"/>
        <v>0</v>
      </c>
    </row>
    <row r="47" spans="1:16" ht="15.75">
      <c r="A47" s="527" t="s">
        <v>81</v>
      </c>
      <c r="B47" s="527"/>
      <c r="C47" s="527"/>
      <c r="D47" s="527"/>
      <c r="E47" s="527"/>
      <c r="F47" s="155">
        <f>'Cifras Historicas'!F24</f>
        <v>11385509735.380001</v>
      </c>
      <c r="G47" s="155">
        <f>'Cifras Historicas'!G24</f>
        <v>10694903131.379997</v>
      </c>
      <c r="H47" s="155">
        <f>'Cifras Historicas'!H24</f>
        <v>20055814840.639999</v>
      </c>
      <c r="I47" s="155">
        <f>'Cifras Historicas'!I24</f>
        <v>25868895297.710007</v>
      </c>
      <c r="J47" s="155">
        <f>'Cifras Historicas'!J24</f>
        <v>22731466212.569992</v>
      </c>
      <c r="K47" s="155">
        <f t="shared" si="3"/>
        <v>24214167012.924053</v>
      </c>
      <c r="L47" s="155">
        <f t="shared" si="3"/>
        <v>26177097178.926865</v>
      </c>
      <c r="M47" s="155">
        <f t="shared" si="3"/>
        <v>28924870094.649052</v>
      </c>
      <c r="N47" s="155">
        <f t="shared" si="3"/>
        <v>32285662320.894371</v>
      </c>
      <c r="O47" s="155">
        <f t="shared" si="3"/>
        <v>36208870720.64901</v>
      </c>
    </row>
    <row r="48" spans="1:16" ht="15.75">
      <c r="A48" s="527" t="s">
        <v>82</v>
      </c>
      <c r="B48" s="527"/>
      <c r="C48" s="527"/>
      <c r="D48" s="527"/>
      <c r="E48" s="527"/>
      <c r="F48" s="155">
        <f>'Cifras Historicas'!F25</f>
        <v>2473248785.8400002</v>
      </c>
      <c r="G48" s="155">
        <f>'Cifras Historicas'!G25</f>
        <v>2535358837.8000007</v>
      </c>
      <c r="H48" s="155">
        <f>'Cifras Historicas'!H25</f>
        <v>2815452942.3699999</v>
      </c>
      <c r="I48" s="155">
        <f>'Cifras Historicas'!I25</f>
        <v>8577058239.7800007</v>
      </c>
      <c r="J48" s="155">
        <f>'Cifras Historicas'!J25</f>
        <v>21630543917.52</v>
      </c>
      <c r="K48" s="155">
        <f t="shared" si="3"/>
        <v>23041435079.519295</v>
      </c>
      <c r="L48" s="155">
        <f t="shared" si="3"/>
        <v>24909297309.157154</v>
      </c>
      <c r="M48" s="155">
        <f t="shared" si="3"/>
        <v>27523991063.316929</v>
      </c>
      <c r="N48" s="155">
        <f t="shared" si="3"/>
        <v>30722014594.560154</v>
      </c>
      <c r="O48" s="155">
        <f t="shared" si="3"/>
        <v>34455215559.025421</v>
      </c>
    </row>
    <row r="49" spans="1:35" ht="15.75">
      <c r="A49" s="527" t="s">
        <v>83</v>
      </c>
      <c r="B49" s="527"/>
      <c r="C49" s="527"/>
      <c r="D49" s="527"/>
      <c r="E49" s="527"/>
      <c r="F49" s="155">
        <f>'Cifras Historicas'!F26</f>
        <v>457414678.56999999</v>
      </c>
      <c r="G49" s="155">
        <f>'Cifras Historicas'!G26</f>
        <v>215298906.37</v>
      </c>
      <c r="H49" s="155">
        <f>'Cifras Historicas'!H26</f>
        <v>87286738.689999998</v>
      </c>
      <c r="I49" s="155">
        <f>'Cifras Historicas'!I26</f>
        <v>168328628.94</v>
      </c>
      <c r="J49" s="155">
        <f>'Cifras Historicas'!J26</f>
        <v>638885425.25999999</v>
      </c>
      <c r="K49" s="155">
        <f t="shared" si="3"/>
        <v>680557877.11634898</v>
      </c>
      <c r="L49" s="155">
        <f t="shared" si="3"/>
        <v>735727546.42562151</v>
      </c>
      <c r="M49" s="155">
        <f t="shared" si="3"/>
        <v>812955827.75875962</v>
      </c>
      <c r="N49" s="155">
        <f t="shared" si="3"/>
        <v>907413490.56838119</v>
      </c>
      <c r="O49" s="155">
        <f t="shared" si="3"/>
        <v>1017678294.5815432</v>
      </c>
    </row>
    <row r="50" spans="1:35" ht="15.75">
      <c r="A50" s="528" t="s">
        <v>212</v>
      </c>
      <c r="B50" s="528"/>
      <c r="C50" s="528"/>
      <c r="D50" s="528"/>
      <c r="E50" s="528"/>
      <c r="F50" s="259">
        <f>'Cifras Historicas'!F27</f>
        <v>14893610024.900002</v>
      </c>
      <c r="G50" s="259">
        <f>'Cifras Historicas'!G27</f>
        <v>14081113058.449999</v>
      </c>
      <c r="H50" s="259">
        <f>'Cifras Historicas'!H27</f>
        <v>23881923376.239998</v>
      </c>
      <c r="I50" s="259">
        <f>'Cifras Historicas'!I27</f>
        <v>41139740651.060013</v>
      </c>
      <c r="J50" s="259">
        <f>'Cifras Historicas'!J27</f>
        <v>65264760702.950005</v>
      </c>
      <c r="K50" s="259">
        <f>SUM(K45:K49)</f>
        <v>69521772196.369186</v>
      </c>
      <c r="L50" s="259">
        <f t="shared" ref="L50:O50" si="4">SUM(L45:L49)</f>
        <v>75157579687.305832</v>
      </c>
      <c r="M50" s="259">
        <f t="shared" si="4"/>
        <v>83046764667.001007</v>
      </c>
      <c r="N50" s="259">
        <f t="shared" si="4"/>
        <v>92696001472.365738</v>
      </c>
      <c r="O50" s="259">
        <f t="shared" si="4"/>
        <v>103960002439.28099</v>
      </c>
    </row>
    <row r="51" spans="1:35">
      <c r="A51" s="529" t="s">
        <v>213</v>
      </c>
      <c r="B51" s="530"/>
      <c r="C51" s="530"/>
      <c r="D51" s="530"/>
      <c r="E51" s="530"/>
      <c r="F51" s="154"/>
      <c r="G51" s="154"/>
      <c r="H51" s="154"/>
      <c r="I51" s="154"/>
      <c r="J51" s="159"/>
      <c r="K51" s="258"/>
      <c r="L51" s="258"/>
      <c r="M51" s="258"/>
      <c r="N51" s="258"/>
      <c r="O51" s="258"/>
    </row>
    <row r="52" spans="1:35" ht="15.75">
      <c r="A52" s="516" t="s">
        <v>80</v>
      </c>
      <c r="B52" s="517"/>
      <c r="C52" s="517"/>
      <c r="D52" s="517"/>
      <c r="E52" s="518"/>
      <c r="F52" s="155">
        <f>'Cifras Historicas'!F29</f>
        <v>315198869.09000003</v>
      </c>
      <c r="G52" s="155">
        <f>'Cifras Historicas'!G29</f>
        <v>313443626.69999999</v>
      </c>
      <c r="H52" s="155">
        <f>'Cifras Historicas'!H29</f>
        <v>170681517.13999999</v>
      </c>
      <c r="I52" s="155">
        <f>'Cifras Historicas'!I29</f>
        <v>10683510</v>
      </c>
      <c r="J52" s="155">
        <f>'Cifras Historicas'!J29</f>
        <v>49683510</v>
      </c>
      <c r="K52" s="155">
        <f t="shared" ref="K52:O56" si="5">+J52*(1+K$34)</f>
        <v>52924206.370067999</v>
      </c>
      <c r="L52" s="155">
        <f t="shared" si="5"/>
        <v>57214526.212171853</v>
      </c>
      <c r="M52" s="155">
        <f t="shared" si="5"/>
        <v>63220254.213145256</v>
      </c>
      <c r="N52" s="155">
        <f t="shared" si="5"/>
        <v>70565840.838272303</v>
      </c>
      <c r="O52" s="155">
        <f t="shared" si="5"/>
        <v>79140684.270655379</v>
      </c>
    </row>
    <row r="53" spans="1:35" ht="15.75">
      <c r="A53" s="527" t="s">
        <v>86</v>
      </c>
      <c r="B53" s="527"/>
      <c r="C53" s="527"/>
      <c r="D53" s="527"/>
      <c r="E53" s="527"/>
      <c r="F53" s="155">
        <f>'Cifras Historicas'!F30</f>
        <v>7434829283.1700001</v>
      </c>
      <c r="G53" s="155">
        <f>'Cifras Historicas'!G30</f>
        <v>11010424766.040001</v>
      </c>
      <c r="H53" s="155">
        <f>'Cifras Historicas'!H30</f>
        <v>11949162213.34</v>
      </c>
      <c r="I53" s="155">
        <f>'Cifras Historicas'!I30</f>
        <v>14026059862.77</v>
      </c>
      <c r="J53" s="155">
        <f>'Cifras Historicas'!J30</f>
        <v>16912503053.120003</v>
      </c>
      <c r="K53" s="155">
        <f t="shared" si="5"/>
        <v>18015651507.265251</v>
      </c>
      <c r="L53" s="155">
        <f t="shared" si="5"/>
        <v>19476096782.33625</v>
      </c>
      <c r="M53" s="155">
        <f t="shared" si="5"/>
        <v>21520475151.591381</v>
      </c>
      <c r="N53" s="155">
        <f t="shared" si="5"/>
        <v>24020947767.644848</v>
      </c>
      <c r="O53" s="155">
        <f t="shared" si="5"/>
        <v>26939865246.104092</v>
      </c>
    </row>
    <row r="54" spans="1:35" ht="15.75">
      <c r="A54" s="527" t="s">
        <v>87</v>
      </c>
      <c r="B54" s="527"/>
      <c r="C54" s="527"/>
      <c r="D54" s="527"/>
      <c r="E54" s="527"/>
      <c r="F54" s="155">
        <f>'Cifras Historicas'!F31</f>
        <v>8863280753.7800007</v>
      </c>
      <c r="G54" s="155">
        <f>'Cifras Historicas'!G31</f>
        <v>8259711192.4274998</v>
      </c>
      <c r="H54" s="155">
        <f>'Cifras Historicas'!H31</f>
        <v>7857112029.8400002</v>
      </c>
      <c r="I54" s="155">
        <f>'Cifras Historicas'!I31</f>
        <v>7949091527.6599998</v>
      </c>
      <c r="J54" s="155">
        <f>'Cifras Historicas'!J31</f>
        <v>7813014062.4299994</v>
      </c>
      <c r="K54" s="155">
        <f t="shared" si="5"/>
        <v>8322631968.0773087</v>
      </c>
      <c r="L54" s="155">
        <f t="shared" si="5"/>
        <v>8997309124.7170048</v>
      </c>
      <c r="M54" s="155">
        <f t="shared" si="5"/>
        <v>9941743954.8394089</v>
      </c>
      <c r="N54" s="155">
        <f t="shared" si="5"/>
        <v>11096879161.649784</v>
      </c>
      <c r="O54" s="155">
        <f t="shared" si="5"/>
        <v>12445321981.417236</v>
      </c>
    </row>
    <row r="55" spans="1:35" ht="15.75">
      <c r="A55" s="527" t="s">
        <v>88</v>
      </c>
      <c r="B55" s="527"/>
      <c r="C55" s="527"/>
      <c r="D55" s="527"/>
      <c r="E55" s="527"/>
      <c r="F55" s="155">
        <f>'Cifras Historicas'!F32</f>
        <v>160000000</v>
      </c>
      <c r="G55" s="155">
        <f>'Cifras Historicas'!G32</f>
        <v>160000000</v>
      </c>
      <c r="H55" s="155">
        <f>'Cifras Historicas'!H32</f>
        <v>0</v>
      </c>
      <c r="I55" s="155">
        <f>'Cifras Historicas'!I32</f>
        <v>0</v>
      </c>
      <c r="J55" s="155">
        <f>'Cifras Historicas'!J32</f>
        <v>0</v>
      </c>
      <c r="K55" s="155">
        <f t="shared" si="5"/>
        <v>0</v>
      </c>
      <c r="L55" s="155">
        <f t="shared" si="5"/>
        <v>0</v>
      </c>
      <c r="M55" s="155">
        <f t="shared" si="5"/>
        <v>0</v>
      </c>
      <c r="N55" s="155">
        <f t="shared" si="5"/>
        <v>0</v>
      </c>
      <c r="O55" s="155">
        <f t="shared" si="5"/>
        <v>0</v>
      </c>
    </row>
    <row r="56" spans="1:35" ht="15.75">
      <c r="A56" s="527" t="s">
        <v>89</v>
      </c>
      <c r="B56" s="527"/>
      <c r="C56" s="527"/>
      <c r="D56" s="527"/>
      <c r="E56" s="527"/>
      <c r="F56" s="155">
        <f>'Cifras Historicas'!F33</f>
        <v>0</v>
      </c>
      <c r="G56" s="155">
        <f>'Cifras Historicas'!G33</f>
        <v>18980476.91</v>
      </c>
      <c r="H56" s="155">
        <f>'Cifras Historicas'!H33</f>
        <v>18980476.91</v>
      </c>
      <c r="I56" s="155">
        <f>'Cifras Historicas'!I33</f>
        <v>0</v>
      </c>
      <c r="J56" s="155">
        <f>'Cifras Historicas'!J33</f>
        <v>0</v>
      </c>
      <c r="K56" s="155">
        <f t="shared" si="5"/>
        <v>0</v>
      </c>
      <c r="L56" s="155">
        <f t="shared" si="5"/>
        <v>0</v>
      </c>
      <c r="M56" s="155">
        <f t="shared" si="5"/>
        <v>0</v>
      </c>
      <c r="N56" s="155">
        <f t="shared" si="5"/>
        <v>0</v>
      </c>
      <c r="O56" s="155">
        <f t="shared" si="5"/>
        <v>0</v>
      </c>
    </row>
    <row r="57" spans="1:35" ht="15.75">
      <c r="A57" s="527" t="s">
        <v>214</v>
      </c>
      <c r="B57" s="527"/>
      <c r="C57" s="527"/>
      <c r="D57" s="527"/>
      <c r="E57" s="527"/>
      <c r="F57" s="259">
        <f>'Cifras Historicas'!F34</f>
        <v>16773308906.040001</v>
      </c>
      <c r="G57" s="259">
        <f>'Cifras Historicas'!G34</f>
        <v>19762560062.077503</v>
      </c>
      <c r="H57" s="259">
        <f>'Cifras Historicas'!H34</f>
        <v>19995936237.23</v>
      </c>
      <c r="I57" s="259">
        <f>'Cifras Historicas'!I34</f>
        <v>21985834900.43</v>
      </c>
      <c r="J57" s="259">
        <f>'Cifras Historicas'!J34</f>
        <v>24775200625.550003</v>
      </c>
      <c r="K57" s="259">
        <f>SUM(K52:K56)</f>
        <v>26391207681.712627</v>
      </c>
      <c r="L57" s="259">
        <f t="shared" ref="L57:O57" si="6">SUM(L52:L56)</f>
        <v>28530620433.265427</v>
      </c>
      <c r="M57" s="259">
        <f t="shared" si="6"/>
        <v>31525439360.643936</v>
      </c>
      <c r="N57" s="259">
        <f t="shared" si="6"/>
        <v>35188392770.132904</v>
      </c>
      <c r="O57" s="259">
        <f t="shared" si="6"/>
        <v>39464327911.791985</v>
      </c>
    </row>
    <row r="58" spans="1:35">
      <c r="A58" s="162"/>
      <c r="B58" s="162"/>
      <c r="C58" s="162"/>
      <c r="D58" s="162"/>
      <c r="E58" s="162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35" ht="15.75">
      <c r="A59" s="531" t="s">
        <v>215</v>
      </c>
      <c r="B59" s="531"/>
      <c r="C59" s="531"/>
      <c r="D59" s="531"/>
      <c r="E59" s="531"/>
      <c r="F59" s="260">
        <f t="shared" ref="F59:O59" si="7">F50+F57</f>
        <v>31666918930.940002</v>
      </c>
      <c r="G59" s="260">
        <f t="shared" si="7"/>
        <v>33843673120.527504</v>
      </c>
      <c r="H59" s="260">
        <f t="shared" si="7"/>
        <v>43877859613.470001</v>
      </c>
      <c r="I59" s="260">
        <f t="shared" si="7"/>
        <v>63125575551.490013</v>
      </c>
      <c r="J59" s="260">
        <f t="shared" si="7"/>
        <v>90039961328.5</v>
      </c>
      <c r="K59" s="261">
        <f t="shared" si="7"/>
        <v>95912979878.081818</v>
      </c>
      <c r="L59" s="261">
        <f t="shared" si="7"/>
        <v>103688200120.57126</v>
      </c>
      <c r="M59" s="261">
        <f t="shared" si="7"/>
        <v>114572204027.64494</v>
      </c>
      <c r="N59" s="261">
        <f t="shared" si="7"/>
        <v>127884394242.49864</v>
      </c>
      <c r="O59" s="261">
        <f t="shared" si="7"/>
        <v>143424330351.07297</v>
      </c>
    </row>
    <row r="60" spans="1:35">
      <c r="A60" s="164"/>
    </row>
    <row r="61" spans="1:35">
      <c r="A61" s="529" t="s">
        <v>216</v>
      </c>
      <c r="B61" s="530"/>
      <c r="C61" s="530"/>
      <c r="D61" s="530"/>
      <c r="E61" s="530"/>
      <c r="F61" s="154"/>
      <c r="G61" s="154"/>
      <c r="H61" s="154"/>
      <c r="I61" s="154"/>
      <c r="J61" s="159"/>
      <c r="K61" s="258"/>
      <c r="L61" s="258"/>
      <c r="M61" s="258"/>
      <c r="N61" s="258"/>
      <c r="O61" s="258"/>
      <c r="Q61" s="15"/>
      <c r="R61" s="15"/>
      <c r="S61" s="15"/>
      <c r="T61" s="15"/>
      <c r="U61" s="262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</row>
    <row r="62" spans="1:35" ht="15.75">
      <c r="A62" s="527" t="s">
        <v>94</v>
      </c>
      <c r="B62" s="527"/>
      <c r="C62" s="527"/>
      <c r="D62" s="527"/>
      <c r="E62" s="527"/>
      <c r="F62" s="155">
        <f>'Cifras Historicas'!F39</f>
        <v>1455671763.8599999</v>
      </c>
      <c r="G62" s="155">
        <f>'Cifras Historicas'!G39</f>
        <v>329220969.63999999</v>
      </c>
      <c r="H62" s="155">
        <f>'Cifras Historicas'!H39</f>
        <v>485354357.98000002</v>
      </c>
      <c r="I62" s="155">
        <f>'Cifras Historicas'!I39</f>
        <v>570874052.06000006</v>
      </c>
      <c r="J62" s="155">
        <f>'Cifras Historicas'!J39</f>
        <v>0</v>
      </c>
      <c r="K62" s="155">
        <f t="shared" ref="K62:O66" si="8">+J62*(1+K$34)</f>
        <v>0</v>
      </c>
      <c r="L62" s="155">
        <f t="shared" si="8"/>
        <v>0</v>
      </c>
      <c r="M62" s="155">
        <f t="shared" si="8"/>
        <v>0</v>
      </c>
      <c r="N62" s="155">
        <f t="shared" si="8"/>
        <v>0</v>
      </c>
      <c r="O62" s="155">
        <f t="shared" si="8"/>
        <v>0</v>
      </c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</row>
    <row r="63" spans="1:35" ht="15.75">
      <c r="A63" s="527" t="s">
        <v>178</v>
      </c>
      <c r="B63" s="527"/>
      <c r="C63" s="527"/>
      <c r="D63" s="527"/>
      <c r="E63" s="527"/>
      <c r="F63" s="155">
        <f>'Cifras Historicas'!F40</f>
        <v>4434916898</v>
      </c>
      <c r="G63" s="155">
        <f>'Cifras Historicas'!G40</f>
        <v>4724854964.2700005</v>
      </c>
      <c r="H63" s="155">
        <f>'Cifras Historicas'!H40</f>
        <v>12411325133.240004</v>
      </c>
      <c r="I63" s="155">
        <f>'Cifras Historicas'!I40</f>
        <v>31859233808.339993</v>
      </c>
      <c r="J63" s="155">
        <f>'Cifras Historicas'!J40</f>
        <v>57190679522.930008</v>
      </c>
      <c r="K63" s="155">
        <f t="shared" si="8"/>
        <v>60921044538.036263</v>
      </c>
      <c r="L63" s="155">
        <f t="shared" si="8"/>
        <v>65859630945.088203</v>
      </c>
      <c r="M63" s="155">
        <f t="shared" si="8"/>
        <v>72772823378.665405</v>
      </c>
      <c r="N63" s="155">
        <f t="shared" si="8"/>
        <v>81228326836.161911</v>
      </c>
      <c r="O63" s="155">
        <f t="shared" si="8"/>
        <v>91098827585.821533</v>
      </c>
      <c r="Q63" s="15"/>
      <c r="R63" s="590"/>
      <c r="S63" s="590"/>
      <c r="T63" s="590"/>
      <c r="U63" s="590"/>
      <c r="V63" s="590"/>
      <c r="W63" s="590"/>
      <c r="X63" s="590"/>
      <c r="Y63" s="590"/>
      <c r="Z63" s="590"/>
      <c r="AA63" s="590"/>
      <c r="AB63" s="15"/>
      <c r="AC63" s="15"/>
      <c r="AD63" s="15"/>
      <c r="AE63" s="15"/>
      <c r="AF63" s="15"/>
      <c r="AG63" s="15"/>
      <c r="AH63" s="15"/>
      <c r="AI63" s="15"/>
    </row>
    <row r="64" spans="1:35" ht="15.75">
      <c r="A64" s="527" t="s">
        <v>120</v>
      </c>
      <c r="B64" s="527"/>
      <c r="C64" s="527"/>
      <c r="D64" s="527"/>
      <c r="E64" s="527"/>
      <c r="F64" s="155">
        <f>'Cifras Historicas'!F41</f>
        <v>296129152.51999998</v>
      </c>
      <c r="G64" s="155">
        <f>'Cifras Historicas'!G41</f>
        <v>393856735.27000004</v>
      </c>
      <c r="H64" s="155">
        <f>'Cifras Historicas'!H41</f>
        <v>524505882.86000001</v>
      </c>
      <c r="I64" s="155">
        <f>'Cifras Historicas'!I41</f>
        <v>542258827.32999992</v>
      </c>
      <c r="J64" s="155">
        <f>'Cifras Historicas'!J41</f>
        <v>446532152.83000004</v>
      </c>
      <c r="K64" s="155">
        <f t="shared" si="8"/>
        <v>475658016.25621188</v>
      </c>
      <c r="L64" s="155">
        <f t="shared" si="8"/>
        <v>514217404.58090752</v>
      </c>
      <c r="M64" s="155">
        <f t="shared" si="8"/>
        <v>568194079.20768142</v>
      </c>
      <c r="N64" s="155">
        <f t="shared" si="8"/>
        <v>634212776.54845369</v>
      </c>
      <c r="O64" s="155">
        <f t="shared" si="8"/>
        <v>711279459.19712722</v>
      </c>
      <c r="Q64" s="15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15"/>
      <c r="AC64" s="15"/>
      <c r="AD64" s="15"/>
      <c r="AE64" s="15"/>
      <c r="AF64" s="15"/>
      <c r="AG64" s="15"/>
      <c r="AH64" s="15"/>
      <c r="AI64" s="15"/>
    </row>
    <row r="65" spans="1:35" ht="15.75">
      <c r="A65" s="527" t="s">
        <v>95</v>
      </c>
      <c r="B65" s="527"/>
      <c r="C65" s="527"/>
      <c r="D65" s="527"/>
      <c r="E65" s="527"/>
      <c r="F65" s="155">
        <f>'Cifras Historicas'!F42</f>
        <v>1663303000</v>
      </c>
      <c r="G65" s="155">
        <f>'Cifras Historicas'!G42</f>
        <v>1698723388.7332048</v>
      </c>
      <c r="H65" s="155">
        <f>'Cifras Historicas'!H42</f>
        <v>1424459000</v>
      </c>
      <c r="I65" s="155">
        <f>'Cifras Historicas'!I42</f>
        <v>322691667.31</v>
      </c>
      <c r="J65" s="155">
        <f>'Cifras Historicas'!J42</f>
        <v>1833951727.4400001</v>
      </c>
      <c r="K65" s="155">
        <f t="shared" si="8"/>
        <v>1953574529.9753835</v>
      </c>
      <c r="L65" s="155">
        <f t="shared" si="8"/>
        <v>2111941752.5346687</v>
      </c>
      <c r="M65" s="155">
        <f t="shared" si="8"/>
        <v>2333629295.1805072</v>
      </c>
      <c r="N65" s="155">
        <f t="shared" si="8"/>
        <v>2604774616.439249</v>
      </c>
      <c r="O65" s="155">
        <f t="shared" si="8"/>
        <v>2921295106.3431726</v>
      </c>
      <c r="Q65" s="262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4"/>
      <c r="AC65" s="264"/>
      <c r="AD65" s="264"/>
      <c r="AE65" s="264"/>
      <c r="AF65" s="264"/>
      <c r="AG65" s="264"/>
      <c r="AH65" s="264"/>
      <c r="AI65" s="264"/>
    </row>
    <row r="66" spans="1:35" ht="15.75">
      <c r="A66" s="527" t="s">
        <v>96</v>
      </c>
      <c r="B66" s="527"/>
      <c r="C66" s="527"/>
      <c r="D66" s="527"/>
      <c r="E66" s="527"/>
      <c r="F66" s="155">
        <f>'Cifras Historicas'!F43</f>
        <v>46710300.189999998</v>
      </c>
      <c r="G66" s="155">
        <f>'Cifras Historicas'!G43</f>
        <v>213637756.61000001</v>
      </c>
      <c r="H66" s="155">
        <f>'Cifras Historicas'!H43</f>
        <v>158150755.53</v>
      </c>
      <c r="I66" s="155">
        <f>'Cifras Historicas'!I43</f>
        <v>45686502</v>
      </c>
      <c r="J66" s="155">
        <f>'Cifras Historicas'!J43</f>
        <v>29146643</v>
      </c>
      <c r="K66" s="155">
        <f t="shared" si="8"/>
        <v>31047785.2536324</v>
      </c>
      <c r="L66" s="155">
        <f t="shared" si="8"/>
        <v>33564685.142420799</v>
      </c>
      <c r="M66" s="155">
        <f t="shared" si="8"/>
        <v>37087922.731702946</v>
      </c>
      <c r="N66" s="155">
        <f t="shared" si="8"/>
        <v>41397183.309068613</v>
      </c>
      <c r="O66" s="155">
        <f t="shared" si="8"/>
        <v>46427582.737461738</v>
      </c>
      <c r="Q66" s="262"/>
      <c r="R66" s="15"/>
      <c r="S66" s="265"/>
      <c r="T66" s="265"/>
      <c r="U66" s="265"/>
      <c r="V66" s="265"/>
      <c r="W66" s="265"/>
      <c r="X66" s="265"/>
      <c r="Y66" s="265"/>
      <c r="Z66" s="265"/>
      <c r="AA66" s="265"/>
      <c r="AB66" s="264"/>
      <c r="AC66" s="264"/>
      <c r="AD66" s="264"/>
      <c r="AE66" s="264"/>
      <c r="AF66" s="264"/>
      <c r="AG66" s="264"/>
      <c r="AH66" s="264"/>
      <c r="AI66" s="264"/>
    </row>
    <row r="67" spans="1:35" ht="15.75">
      <c r="A67" s="527" t="s">
        <v>217</v>
      </c>
      <c r="B67" s="527"/>
      <c r="C67" s="527"/>
      <c r="D67" s="527"/>
      <c r="E67" s="527"/>
      <c r="F67" s="259">
        <f>'Cifras Historicas'!F44</f>
        <v>7896731114.5699987</v>
      </c>
      <c r="G67" s="259">
        <f>'Cifras Historicas'!G44</f>
        <v>7360293814.5232058</v>
      </c>
      <c r="H67" s="259">
        <f>'Cifras Historicas'!H44</f>
        <v>15003795129.610004</v>
      </c>
      <c r="I67" s="259">
        <f>'Cifras Historicas'!I44</f>
        <v>33340744857.039997</v>
      </c>
      <c r="J67" s="259">
        <f>'Cifras Historicas'!J44</f>
        <v>59500310046.200012</v>
      </c>
      <c r="K67" s="259">
        <f>SUM(K62:K66)</f>
        <v>63381324869.521484</v>
      </c>
      <c r="L67" s="259">
        <f t="shared" ref="L67:O67" si="9">SUM(L62:L66)</f>
        <v>68519354787.346199</v>
      </c>
      <c r="M67" s="259">
        <f t="shared" si="9"/>
        <v>75711734675.785309</v>
      </c>
      <c r="N67" s="259">
        <f t="shared" si="9"/>
        <v>84508711412.458679</v>
      </c>
      <c r="O67" s="259">
        <f t="shared" si="9"/>
        <v>94777829734.099289</v>
      </c>
      <c r="Q67" s="262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4"/>
      <c r="AC67" s="264"/>
      <c r="AD67" s="264"/>
      <c r="AE67" s="264"/>
      <c r="AF67" s="264"/>
      <c r="AG67" s="264"/>
      <c r="AH67" s="264"/>
      <c r="AI67" s="264"/>
    </row>
    <row r="68" spans="1:35">
      <c r="A68" s="529" t="s">
        <v>218</v>
      </c>
      <c r="B68" s="530"/>
      <c r="C68" s="530"/>
      <c r="D68" s="530"/>
      <c r="E68" s="530"/>
      <c r="F68" s="154"/>
      <c r="G68" s="154"/>
      <c r="H68" s="154"/>
      <c r="I68" s="154"/>
      <c r="J68" s="159"/>
      <c r="K68" s="258"/>
      <c r="L68" s="258"/>
      <c r="M68" s="258"/>
      <c r="N68" s="258"/>
      <c r="O68" s="258"/>
      <c r="Q68" s="15"/>
      <c r="R68" s="15"/>
      <c r="S68" s="15"/>
      <c r="T68" s="15"/>
      <c r="U68" s="15"/>
      <c r="V68" s="15"/>
      <c r="W68" s="266"/>
      <c r="X68" s="266"/>
      <c r="Y68" s="266"/>
      <c r="Z68" s="266"/>
      <c r="AA68" s="266"/>
      <c r="AB68" s="15"/>
      <c r="AC68" s="15"/>
      <c r="AD68" s="15"/>
      <c r="AE68" s="15"/>
      <c r="AF68" s="15"/>
      <c r="AG68" s="15"/>
      <c r="AH68" s="15"/>
      <c r="AI68" s="15"/>
    </row>
    <row r="69" spans="1:35" ht="15.75">
      <c r="A69" s="527" t="s">
        <v>94</v>
      </c>
      <c r="B69" s="527"/>
      <c r="C69" s="527"/>
      <c r="D69" s="527"/>
      <c r="E69" s="527"/>
      <c r="F69" s="155">
        <f>'Cifras Historicas'!F46</f>
        <v>9317447893.4500008</v>
      </c>
      <c r="G69" s="155">
        <f>'Cifras Historicas'!G46</f>
        <v>9924850657.5</v>
      </c>
      <c r="H69" s="155">
        <f>'Cifras Historicas'!H46</f>
        <v>10003132713</v>
      </c>
      <c r="I69" s="155">
        <f>'Cifras Historicas'!I46</f>
        <v>9948757958.8699989</v>
      </c>
      <c r="J69" s="155">
        <f>'Cifras Historicas'!J46</f>
        <v>9976127172.5499992</v>
      </c>
      <c r="K69" s="155">
        <f t="shared" ref="K69:O72" si="10">+J69*(1+K$34)</f>
        <v>10626838024.408484</v>
      </c>
      <c r="L69" s="155">
        <f t="shared" si="10"/>
        <v>11488306474.518847</v>
      </c>
      <c r="M69" s="155">
        <f t="shared" si="10"/>
        <v>12694217777.916193</v>
      </c>
      <c r="N69" s="155">
        <f t="shared" si="10"/>
        <v>14169164019.219389</v>
      </c>
      <c r="O69" s="155">
        <f t="shared" si="10"/>
        <v>15890937069.596842</v>
      </c>
      <c r="Q69" s="267"/>
      <c r="R69" s="265"/>
      <c r="S69" s="265"/>
      <c r="T69" s="265"/>
      <c r="U69" s="265"/>
      <c r="V69" s="265"/>
      <c r="W69" s="268"/>
      <c r="X69" s="268"/>
      <c r="Y69" s="268"/>
      <c r="Z69" s="268"/>
      <c r="AA69" s="268"/>
      <c r="AB69" s="264"/>
      <c r="AC69" s="264"/>
      <c r="AD69" s="264"/>
      <c r="AE69" s="264"/>
      <c r="AF69" s="264"/>
      <c r="AG69" s="264"/>
      <c r="AH69" s="264"/>
      <c r="AI69" s="264"/>
    </row>
    <row r="70" spans="1:35" ht="15.75">
      <c r="A70" s="527" t="s">
        <v>99</v>
      </c>
      <c r="B70" s="527"/>
      <c r="C70" s="527"/>
      <c r="D70" s="527"/>
      <c r="E70" s="527"/>
      <c r="F70" s="155">
        <f>'Cifras Historicas'!F47</f>
        <v>421921000</v>
      </c>
      <c r="G70" s="155">
        <f>'Cifras Historicas'!G47</f>
        <v>421920000</v>
      </c>
      <c r="H70" s="155">
        <f>'Cifras Historicas'!H47</f>
        <v>304164000</v>
      </c>
      <c r="I70" s="155">
        <f>'Cifras Historicas'!I47</f>
        <v>186408000</v>
      </c>
      <c r="J70" s="155">
        <f>'Cifras Historicas'!J47</f>
        <v>68652000</v>
      </c>
      <c r="K70" s="155">
        <f t="shared" si="10"/>
        <v>73129950.273599997</v>
      </c>
      <c r="L70" s="155">
        <f t="shared" si="10"/>
        <v>79058256.019311473</v>
      </c>
      <c r="M70" s="155">
        <f t="shared" si="10"/>
        <v>87356889.483871967</v>
      </c>
      <c r="N70" s="155">
        <f t="shared" si="10"/>
        <v>97506921.415758863</v>
      </c>
      <c r="O70" s="155">
        <f t="shared" si="10"/>
        <v>109355523.7250555</v>
      </c>
    </row>
    <row r="71" spans="1:35" ht="15.75">
      <c r="A71" s="527" t="s">
        <v>156</v>
      </c>
      <c r="B71" s="527"/>
      <c r="C71" s="527"/>
      <c r="D71" s="527"/>
      <c r="E71" s="527"/>
      <c r="F71" s="155">
        <f>+'Cifras Historicas'!F48</f>
        <v>9842933055.1399994</v>
      </c>
      <c r="G71" s="155">
        <f>+'Cifras Historicas'!G48</f>
        <v>9747490312.4000015</v>
      </c>
      <c r="H71" s="155">
        <f>+'Cifras Historicas'!H48</f>
        <v>9788764756.1799984</v>
      </c>
      <c r="I71" s="155">
        <f>+'Cifras Historicas'!I48</f>
        <v>9694556162.0400009</v>
      </c>
      <c r="J71" s="155">
        <f>+'Cifras Historicas'!J48</f>
        <v>9914456921.0100002</v>
      </c>
      <c r="K71" s="155">
        <f t="shared" si="10"/>
        <v>10561145219.705336</v>
      </c>
      <c r="L71" s="155">
        <f t="shared" si="10"/>
        <v>11417288258.953028</v>
      </c>
      <c r="M71" s="155">
        <f t="shared" si="10"/>
        <v>12615744880.575661</v>
      </c>
      <c r="N71" s="155">
        <f t="shared" si="10"/>
        <v>14081573324.547703</v>
      </c>
      <c r="O71" s="155">
        <f t="shared" si="10"/>
        <v>15792702747.866777</v>
      </c>
    </row>
    <row r="72" spans="1:35" ht="15.75">
      <c r="A72" s="527" t="s">
        <v>96</v>
      </c>
      <c r="B72" s="527"/>
      <c r="C72" s="527"/>
      <c r="D72" s="527"/>
      <c r="E72" s="527"/>
      <c r="F72" s="155">
        <f>'Cifras Historicas'!F49</f>
        <v>86921281.469999999</v>
      </c>
      <c r="G72" s="155">
        <f>'Cifras Historicas'!G49</f>
        <v>164915997.99000001</v>
      </c>
      <c r="H72" s="155">
        <f>'Cifras Historicas'!H49</f>
        <v>256589228.62</v>
      </c>
      <c r="I72" s="155">
        <f>'Cifras Historicas'!I49</f>
        <v>26554190.82</v>
      </c>
      <c r="J72" s="155">
        <f>'Cifras Historicas'!J49</f>
        <v>0</v>
      </c>
      <c r="K72" s="155">
        <f t="shared" si="10"/>
        <v>0</v>
      </c>
      <c r="L72" s="155">
        <f t="shared" si="10"/>
        <v>0</v>
      </c>
      <c r="M72" s="155">
        <f t="shared" si="10"/>
        <v>0</v>
      </c>
      <c r="N72" s="155">
        <f t="shared" si="10"/>
        <v>0</v>
      </c>
      <c r="O72" s="155">
        <f t="shared" si="10"/>
        <v>0</v>
      </c>
    </row>
    <row r="73" spans="1:35" ht="15.75">
      <c r="A73" s="527" t="s">
        <v>219</v>
      </c>
      <c r="B73" s="527"/>
      <c r="C73" s="527"/>
      <c r="D73" s="527"/>
      <c r="E73" s="527"/>
      <c r="F73" s="259">
        <f>'Cifras Historicas'!F50</f>
        <v>19669223230.060001</v>
      </c>
      <c r="G73" s="259">
        <f>'Cifras Historicas'!G50</f>
        <v>20259176967.890003</v>
      </c>
      <c r="H73" s="259">
        <f>'Cifras Historicas'!H50</f>
        <v>20352650697.799999</v>
      </c>
      <c r="I73" s="259">
        <f>'Cifras Historicas'!I50</f>
        <v>19856276311.73</v>
      </c>
      <c r="J73" s="259">
        <f>'Cifras Historicas'!J50</f>
        <v>19959236093.559998</v>
      </c>
      <c r="K73" s="259">
        <f>SUM(K69:K72)</f>
        <v>21261113194.387421</v>
      </c>
      <c r="L73" s="259">
        <f t="shared" ref="L73:O73" si="11">SUM(L69:L72)</f>
        <v>22984652989.491188</v>
      </c>
      <c r="M73" s="259">
        <f t="shared" si="11"/>
        <v>25397319547.975723</v>
      </c>
      <c r="N73" s="259">
        <f t="shared" si="11"/>
        <v>28348244265.18285</v>
      </c>
      <c r="O73" s="259">
        <f t="shared" si="11"/>
        <v>31792995341.188675</v>
      </c>
    </row>
    <row r="74" spans="1:35">
      <c r="A74" s="164"/>
      <c r="B74" s="164"/>
      <c r="C74" s="164"/>
      <c r="D74" s="164"/>
      <c r="E74" s="164"/>
    </row>
    <row r="75" spans="1:35" ht="15.75">
      <c r="A75" s="531" t="s">
        <v>220</v>
      </c>
      <c r="B75" s="531"/>
      <c r="C75" s="531"/>
      <c r="D75" s="531"/>
      <c r="E75" s="531"/>
      <c r="F75" s="260">
        <f t="shared" ref="F75:O75" si="12">F67+F73</f>
        <v>27565954344.630001</v>
      </c>
      <c r="G75" s="260">
        <f t="shared" si="12"/>
        <v>27619470782.413208</v>
      </c>
      <c r="H75" s="260">
        <f t="shared" si="12"/>
        <v>35356445827.410004</v>
      </c>
      <c r="I75" s="260">
        <f t="shared" si="12"/>
        <v>53197021168.769997</v>
      </c>
      <c r="J75" s="260">
        <f t="shared" si="12"/>
        <v>79459546139.76001</v>
      </c>
      <c r="K75" s="261">
        <f t="shared" si="12"/>
        <v>84642438063.908905</v>
      </c>
      <c r="L75" s="261">
        <f t="shared" si="12"/>
        <v>91504007776.837387</v>
      </c>
      <c r="M75" s="261">
        <f t="shared" si="12"/>
        <v>101109054223.76103</v>
      </c>
      <c r="N75" s="261">
        <f t="shared" si="12"/>
        <v>112856955677.64153</v>
      </c>
      <c r="O75" s="261">
        <f t="shared" si="12"/>
        <v>126570825075.28796</v>
      </c>
    </row>
    <row r="76" spans="1:35">
      <c r="A76" s="164"/>
    </row>
    <row r="77" spans="1:35">
      <c r="A77" s="529" t="s">
        <v>221</v>
      </c>
      <c r="B77" s="530"/>
      <c r="C77" s="530"/>
      <c r="D77" s="530"/>
      <c r="E77" s="530"/>
      <c r="F77" s="154"/>
      <c r="G77" s="154"/>
      <c r="H77" s="154"/>
      <c r="I77" s="154"/>
      <c r="J77" s="159"/>
      <c r="K77" s="258"/>
      <c r="L77" s="258"/>
      <c r="M77" s="258"/>
      <c r="N77" s="258"/>
      <c r="O77" s="258"/>
    </row>
    <row r="78" spans="1:35" ht="15.75">
      <c r="A78" s="527" t="s">
        <v>102</v>
      </c>
      <c r="B78" s="527"/>
      <c r="C78" s="527"/>
      <c r="D78" s="527"/>
      <c r="E78" s="527"/>
      <c r="F78" s="155">
        <f>'Cifras Historicas'!F55</f>
        <v>3000000000</v>
      </c>
      <c r="G78" s="155">
        <f>'Cifras Historicas'!G55</f>
        <v>3000000000</v>
      </c>
      <c r="H78" s="155">
        <f>'Cifras Historicas'!H55</f>
        <v>3000000000</v>
      </c>
      <c r="I78" s="155">
        <f>'Cifras Historicas'!I55</f>
        <v>3000000000</v>
      </c>
      <c r="J78" s="155">
        <f>'Cifras Historicas'!J55</f>
        <v>3000000000</v>
      </c>
      <c r="K78" s="155">
        <f>+J78</f>
        <v>3000000000</v>
      </c>
      <c r="L78" s="155">
        <f t="shared" ref="L78:O78" si="13">+K78</f>
        <v>3000000000</v>
      </c>
      <c r="M78" s="155">
        <f t="shared" si="13"/>
        <v>3000000000</v>
      </c>
      <c r="N78" s="155">
        <f t="shared" si="13"/>
        <v>3000000000</v>
      </c>
      <c r="O78" s="155">
        <f t="shared" si="13"/>
        <v>3000000000</v>
      </c>
    </row>
    <row r="79" spans="1:35" ht="15.75">
      <c r="A79" s="527" t="s">
        <v>103</v>
      </c>
      <c r="B79" s="527"/>
      <c r="C79" s="527"/>
      <c r="D79" s="527"/>
      <c r="E79" s="527"/>
      <c r="F79" s="155">
        <f>'Cifras Historicas'!F56</f>
        <v>0</v>
      </c>
      <c r="G79" s="155">
        <f>'Cifras Historicas'!G56</f>
        <v>0</v>
      </c>
      <c r="H79" s="155">
        <f>'Cifras Historicas'!H56</f>
        <v>0</v>
      </c>
      <c r="I79" s="155">
        <f>'Cifras Historicas'!I56</f>
        <v>0</v>
      </c>
      <c r="J79" s="155">
        <f>'Cifras Historicas'!J56</f>
        <v>0</v>
      </c>
      <c r="K79" s="155">
        <f t="shared" ref="K79:O79" si="14">+J79*(1+K$34)</f>
        <v>0</v>
      </c>
      <c r="L79" s="155">
        <f t="shared" si="14"/>
        <v>0</v>
      </c>
      <c r="M79" s="155">
        <f t="shared" si="14"/>
        <v>0</v>
      </c>
      <c r="N79" s="155">
        <f t="shared" si="14"/>
        <v>0</v>
      </c>
      <c r="O79" s="155">
        <f t="shared" si="14"/>
        <v>0</v>
      </c>
    </row>
    <row r="80" spans="1:35" ht="15.75">
      <c r="A80" s="527" t="s">
        <v>157</v>
      </c>
      <c r="B80" s="527"/>
      <c r="C80" s="527"/>
      <c r="D80" s="527"/>
      <c r="E80" s="527"/>
      <c r="F80" s="155">
        <f>+'Analisis Financiero'!F80</f>
        <v>-3713038753</v>
      </c>
      <c r="G80" s="155">
        <f>+'Analisis Financiero'!G80</f>
        <v>-3713038753</v>
      </c>
      <c r="H80" s="155">
        <f>+'Analisis Financiero'!H80</f>
        <v>-3713038753</v>
      </c>
      <c r="I80" s="155">
        <f>+'Analisis Financiero'!I80</f>
        <v>-3713038753</v>
      </c>
      <c r="J80" s="155">
        <f>+'Analisis Financiero'!J80</f>
        <v>-3713038753</v>
      </c>
      <c r="K80" s="155">
        <f>+J80</f>
        <v>-3713038753</v>
      </c>
      <c r="L80" s="155">
        <f>+K80</f>
        <v>-3713038753</v>
      </c>
      <c r="M80" s="155">
        <f t="shared" ref="M80:O80" si="15">+L80</f>
        <v>-3713038753</v>
      </c>
      <c r="N80" s="155">
        <f t="shared" si="15"/>
        <v>-3713038753</v>
      </c>
      <c r="O80" s="155">
        <f t="shared" si="15"/>
        <v>-3713038753</v>
      </c>
    </row>
    <row r="81" spans="1:15" ht="15.75">
      <c r="A81" s="527" t="s">
        <v>104</v>
      </c>
      <c r="B81" s="527"/>
      <c r="C81" s="527"/>
      <c r="D81" s="527"/>
      <c r="E81" s="527"/>
      <c r="F81" s="155">
        <f>'Cifras Historicas'!F58</f>
        <v>493898943</v>
      </c>
      <c r="G81" s="155">
        <f>'Cifras Historicas'!G58</f>
        <v>493898943.99000001</v>
      </c>
      <c r="H81" s="155">
        <f>'Cifras Historicas'!H58</f>
        <v>493898943.99000001</v>
      </c>
      <c r="I81" s="155">
        <f>'Cifras Historicas'!I58</f>
        <v>493898943.99000001</v>
      </c>
      <c r="J81" s="155">
        <f>'Cifras Historicas'!J58</f>
        <v>493898943.99000001</v>
      </c>
      <c r="K81" s="155">
        <v>8143982059.5896759</v>
      </c>
      <c r="L81" s="155">
        <v>7322886365.6442871</v>
      </c>
      <c r="M81" s="155">
        <v>5841400309.8349457</v>
      </c>
      <c r="N81" s="155">
        <v>4723091268.6401672</v>
      </c>
      <c r="O81" s="155">
        <v>2418364308.1439514</v>
      </c>
    </row>
    <row r="82" spans="1:15" ht="15.75">
      <c r="A82" s="527" t="s">
        <v>105</v>
      </c>
      <c r="B82" s="527"/>
      <c r="C82" s="527"/>
      <c r="D82" s="527"/>
      <c r="E82" s="527"/>
      <c r="F82" s="155">
        <f>'Cifras Historicas'!F59</f>
        <v>1664069505.5899968</v>
      </c>
      <c r="G82" s="155">
        <f>'Cifras Historicas'!G59</f>
        <v>2123237759.9743004</v>
      </c>
      <c r="H82" s="155">
        <f>'Cifras Historicas'!H59</f>
        <v>2297211449</v>
      </c>
      <c r="I82" s="155">
        <f>'Cifras Historicas'!I59</f>
        <v>1407140597</v>
      </c>
      <c r="J82" s="155">
        <f>'Cifras Historicas'!J59</f>
        <v>651860806.84999895</v>
      </c>
      <c r="K82" s="155">
        <f>+K106</f>
        <v>3839598507.5832357</v>
      </c>
      <c r="L82" s="155">
        <f t="shared" ref="L82:O82" si="16">+L106</f>
        <v>5574344731.0895863</v>
      </c>
      <c r="M82" s="155">
        <f t="shared" si="16"/>
        <v>8334788247.0489683</v>
      </c>
      <c r="N82" s="155">
        <f t="shared" si="16"/>
        <v>11017386049.216949</v>
      </c>
      <c r="O82" s="155">
        <f t="shared" si="16"/>
        <v>15148179720.641068</v>
      </c>
    </row>
    <row r="83" spans="1:15" ht="15.75">
      <c r="A83" s="527" t="s">
        <v>155</v>
      </c>
      <c r="B83" s="527"/>
      <c r="C83" s="527"/>
      <c r="D83" s="527"/>
      <c r="E83" s="527"/>
      <c r="F83" s="155">
        <f>+'Analisis Financiero'!F83</f>
        <v>2656034891.1399927</v>
      </c>
      <c r="G83" s="155">
        <f>+'Analisis Financiero'!G83</f>
        <v>4320104387.1499996</v>
      </c>
      <c r="H83" s="155">
        <f>+'Analisis Financiero'!H83</f>
        <v>6443342145.7799997</v>
      </c>
      <c r="I83" s="155">
        <f>+'Analisis Financiero'!I83</f>
        <v>8740553594.7800007</v>
      </c>
      <c r="J83" s="155">
        <f>+'Analisis Financiero'!J83</f>
        <v>10147694191.780001</v>
      </c>
      <c r="K83" s="155">
        <f>+J82+J83</f>
        <v>10799554998.629999</v>
      </c>
      <c r="L83" s="155">
        <f>+K82+K83</f>
        <v>14639153506.213234</v>
      </c>
      <c r="M83" s="155">
        <f t="shared" ref="M83:O83" si="17">+L82+L83</f>
        <v>20213498237.302818</v>
      </c>
      <c r="N83" s="155">
        <f t="shared" si="17"/>
        <v>28548286484.351788</v>
      </c>
      <c r="O83" s="155">
        <f t="shared" si="17"/>
        <v>39565672533.568741</v>
      </c>
    </row>
    <row r="84" spans="1:15" ht="15.75">
      <c r="A84" s="527" t="s">
        <v>222</v>
      </c>
      <c r="B84" s="527"/>
      <c r="C84" s="527"/>
      <c r="D84" s="527"/>
      <c r="E84" s="527"/>
      <c r="F84" s="259">
        <f>'Cifras Historicas'!F61</f>
        <v>4100964586.7299895</v>
      </c>
      <c r="G84" s="259">
        <f>'Cifras Historicas'!G61</f>
        <v>6224202338.1142998</v>
      </c>
      <c r="H84" s="259">
        <f>'Cifras Historicas'!H61</f>
        <v>8521413785.7699995</v>
      </c>
      <c r="I84" s="259">
        <f>'Cifras Historicas'!I61</f>
        <v>9928554382.7700005</v>
      </c>
      <c r="J84" s="259">
        <f>'Cifras Historicas'!J61</f>
        <v>10580415189.619999</v>
      </c>
      <c r="K84" s="259">
        <f>SUM(K78:K82)</f>
        <v>11270541814.172913</v>
      </c>
      <c r="L84" s="259">
        <f t="shared" ref="L84:O84" si="18">SUM(L78:L82)</f>
        <v>12184192343.733873</v>
      </c>
      <c r="M84" s="259">
        <f t="shared" si="18"/>
        <v>13463149803.883915</v>
      </c>
      <c r="N84" s="259">
        <f t="shared" si="18"/>
        <v>15027438564.857117</v>
      </c>
      <c r="O84" s="259">
        <f t="shared" si="18"/>
        <v>16853505275.785019</v>
      </c>
    </row>
    <row r="85" spans="1:15">
      <c r="A85" s="162"/>
      <c r="B85" s="162"/>
      <c r="C85" s="162"/>
      <c r="D85" s="162"/>
      <c r="E85" s="162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1:15" ht="15.75">
      <c r="A86" s="531" t="s">
        <v>223</v>
      </c>
      <c r="B86" s="531"/>
      <c r="C86" s="531"/>
      <c r="D86" s="531"/>
      <c r="E86" s="531"/>
      <c r="F86" s="260">
        <f t="shared" ref="F86:O86" si="19">F75+F84</f>
        <v>31666918931.359989</v>
      </c>
      <c r="G86" s="260">
        <f t="shared" si="19"/>
        <v>33843673120.527508</v>
      </c>
      <c r="H86" s="260">
        <f t="shared" si="19"/>
        <v>43877859613.18</v>
      </c>
      <c r="I86" s="260">
        <f t="shared" si="19"/>
        <v>63125575551.539993</v>
      </c>
      <c r="J86" s="260">
        <f t="shared" si="19"/>
        <v>90039961329.380005</v>
      </c>
      <c r="K86" s="261">
        <f t="shared" si="19"/>
        <v>95912979878.081818</v>
      </c>
      <c r="L86" s="261">
        <f t="shared" si="19"/>
        <v>103688200120.57126</v>
      </c>
      <c r="M86" s="261">
        <f t="shared" si="19"/>
        <v>114572204027.64494</v>
      </c>
      <c r="N86" s="261">
        <f t="shared" si="19"/>
        <v>127884394242.49864</v>
      </c>
      <c r="O86" s="261">
        <f t="shared" si="19"/>
        <v>143424330351.073</v>
      </c>
    </row>
    <row r="87" spans="1:15">
      <c r="F87" s="43"/>
      <c r="K87" s="43"/>
      <c r="L87" s="43"/>
      <c r="M87" s="43"/>
      <c r="N87" s="43"/>
      <c r="O87" s="43"/>
    </row>
    <row r="88" spans="1:15" ht="15.75">
      <c r="A88" s="534" t="s">
        <v>224</v>
      </c>
      <c r="B88" s="535"/>
      <c r="C88" s="535"/>
      <c r="D88" s="535"/>
      <c r="E88" s="536"/>
      <c r="F88" s="270">
        <f t="shared" ref="F88:O88" si="20">F59-F86</f>
        <v>-0.41998672485351563</v>
      </c>
      <c r="G88" s="270">
        <f t="shared" si="20"/>
        <v>0</v>
      </c>
      <c r="H88" s="270">
        <f t="shared" si="20"/>
        <v>0.29000091552734375</v>
      </c>
      <c r="I88" s="270">
        <f t="shared" si="20"/>
        <v>-4.998016357421875E-2</v>
      </c>
      <c r="J88" s="270">
        <f t="shared" si="20"/>
        <v>-0.8800048828125</v>
      </c>
      <c r="K88" s="269">
        <f t="shared" si="20"/>
        <v>0</v>
      </c>
      <c r="L88" s="269">
        <f t="shared" si="20"/>
        <v>0</v>
      </c>
      <c r="M88" s="269">
        <f t="shared" si="20"/>
        <v>0</v>
      </c>
      <c r="N88" s="269">
        <f t="shared" si="20"/>
        <v>0</v>
      </c>
      <c r="O88" s="269">
        <f t="shared" si="20"/>
        <v>0</v>
      </c>
    </row>
    <row r="90" spans="1:15" ht="15.75" thickBot="1"/>
    <row r="91" spans="1:15" ht="15.75" thickBot="1">
      <c r="A91" s="521" t="s">
        <v>227</v>
      </c>
      <c r="B91" s="521"/>
      <c r="C91" s="521"/>
      <c r="D91" s="521"/>
      <c r="E91" s="521"/>
      <c r="F91" s="167">
        <f>'Cifras Historicas'!F71</f>
        <v>2016</v>
      </c>
      <c r="G91" s="167">
        <f>'Cifras Historicas'!G71</f>
        <v>2017</v>
      </c>
      <c r="H91" s="167">
        <f>'Cifras Historicas'!H71</f>
        <v>2018</v>
      </c>
      <c r="I91" s="167">
        <f>'Cifras Historicas'!I71</f>
        <v>2019</v>
      </c>
      <c r="J91" s="168">
        <f>'Cifras Historicas'!J71</f>
        <v>2020</v>
      </c>
      <c r="K91" s="255">
        <f>K43</f>
        <v>2021</v>
      </c>
      <c r="L91" s="256">
        <f>L43</f>
        <v>2022</v>
      </c>
      <c r="M91" s="256">
        <f>M43</f>
        <v>2023</v>
      </c>
      <c r="N91" s="256">
        <f>N43</f>
        <v>2024</v>
      </c>
      <c r="O91" s="257">
        <f>O43</f>
        <v>2025</v>
      </c>
    </row>
    <row r="92" spans="1:15">
      <c r="A92" s="529" t="s">
        <v>231</v>
      </c>
      <c r="B92" s="530"/>
      <c r="C92" s="530"/>
      <c r="D92" s="530"/>
      <c r="E92" s="530"/>
      <c r="F92" s="154"/>
      <c r="G92" s="154"/>
      <c r="H92" s="154"/>
      <c r="I92" s="154"/>
      <c r="J92" s="154"/>
      <c r="K92" s="596"/>
      <c r="L92" s="597"/>
      <c r="M92" s="597"/>
      <c r="N92" s="597"/>
      <c r="O92" s="598"/>
    </row>
    <row r="93" spans="1:15" ht="15.75">
      <c r="A93" s="516" t="s">
        <v>111</v>
      </c>
      <c r="B93" s="517"/>
      <c r="C93" s="517"/>
      <c r="D93" s="517"/>
      <c r="E93" s="518"/>
      <c r="F93" s="155">
        <f>+'Cifras Historicas'!F73</f>
        <v>23022505394.929996</v>
      </c>
      <c r="G93" s="155">
        <f>+'Cifras Historicas'!G73</f>
        <v>26779815999</v>
      </c>
      <c r="H93" s="155">
        <f>+'Cifras Historicas'!H73</f>
        <v>32806589929.220009</v>
      </c>
      <c r="I93" s="155">
        <f>+'Cifras Historicas'!I73</f>
        <v>48267951070.199997</v>
      </c>
      <c r="J93" s="155">
        <f>+'Cifras Historicas'!J73</f>
        <v>51117452420.909996</v>
      </c>
      <c r="K93" s="155">
        <f>+'Estrategias Operativas'!E38</f>
        <v>54451680266.47821</v>
      </c>
      <c r="L93" s="155">
        <f>+'Estrategias Operativas'!F38</f>
        <v>58865825329.885162</v>
      </c>
      <c r="M93" s="155">
        <f>+'Estrategias Operativas'!G38</f>
        <v>65044887866.784927</v>
      </c>
      <c r="N93" s="155">
        <f>+'Estrategias Operativas'!H38</f>
        <v>72602479405.981827</v>
      </c>
      <c r="O93" s="155">
        <f>+'Estrategias Operativas'!I38</f>
        <v>81424805992.23941</v>
      </c>
    </row>
    <row r="94" spans="1:15" ht="15.75">
      <c r="A94" s="516" t="s">
        <v>112</v>
      </c>
      <c r="B94" s="517"/>
      <c r="C94" s="517"/>
      <c r="D94" s="517"/>
      <c r="E94" s="518"/>
      <c r="F94" s="155">
        <f>+'Cifras Historicas'!F74</f>
        <v>5615237133.5900002</v>
      </c>
      <c r="G94" s="155">
        <f>+'Cifras Historicas'!G74</f>
        <v>7173321978.9700012</v>
      </c>
      <c r="H94" s="155">
        <f>+'Cifras Historicas'!H74</f>
        <v>11184452872.790001</v>
      </c>
      <c r="I94" s="155">
        <f>+'Cifras Historicas'!I74</f>
        <v>25967121899.380001</v>
      </c>
      <c r="J94" s="155">
        <f>+'Cifras Historicas'!J74</f>
        <v>32551649042.330002</v>
      </c>
      <c r="K94" s="181">
        <f>+'Estrategias Operativas'!E28</f>
        <v>21861170428.808311</v>
      </c>
      <c r="L94" s="181">
        <f>+'Estrategias Operativas'!F28</f>
        <v>23169954980.040207</v>
      </c>
      <c r="M94" s="181">
        <f>+'Estrategias Operativas'!G28</f>
        <v>24736301861.578377</v>
      </c>
      <c r="N94" s="181">
        <f>+'Estrategias Operativas'!H28</f>
        <v>26548483335.957611</v>
      </c>
      <c r="O94" s="181">
        <f>+'Estrategias Operativas'!I28</f>
        <v>28356700535.969681</v>
      </c>
    </row>
    <row r="95" spans="1:15" ht="15.75">
      <c r="A95" s="528" t="s">
        <v>235</v>
      </c>
      <c r="B95" s="528"/>
      <c r="C95" s="528"/>
      <c r="D95" s="528"/>
      <c r="E95" s="528"/>
      <c r="F95" s="274">
        <f t="shared" ref="F95:O95" si="21">F93-F94</f>
        <v>17407268261.339996</v>
      </c>
      <c r="G95" s="274">
        <f t="shared" si="21"/>
        <v>19606494020.029999</v>
      </c>
      <c r="H95" s="274">
        <f t="shared" si="21"/>
        <v>21622137056.430008</v>
      </c>
      <c r="I95" s="274">
        <f t="shared" si="21"/>
        <v>22300829170.819996</v>
      </c>
      <c r="J95" s="274">
        <f t="shared" si="21"/>
        <v>18565803378.579994</v>
      </c>
      <c r="K95" s="274">
        <f t="shared" si="21"/>
        <v>32590509837.669899</v>
      </c>
      <c r="L95" s="274">
        <f t="shared" si="21"/>
        <v>35695870349.844955</v>
      </c>
      <c r="M95" s="274">
        <f t="shared" si="21"/>
        <v>40308586005.206551</v>
      </c>
      <c r="N95" s="274">
        <f t="shared" si="21"/>
        <v>46053996070.024216</v>
      </c>
      <c r="O95" s="274">
        <f t="shared" si="21"/>
        <v>53068105456.26973</v>
      </c>
    </row>
    <row r="96" spans="1:15" ht="15.75">
      <c r="A96" s="527" t="s">
        <v>114</v>
      </c>
      <c r="B96" s="527"/>
      <c r="C96" s="527"/>
      <c r="D96" s="527"/>
      <c r="E96" s="527"/>
      <c r="F96" s="181">
        <f>+'Cifras Historicas'!F76</f>
        <v>4085976750.1799998</v>
      </c>
      <c r="G96" s="181">
        <f>+'Cifras Historicas'!G76</f>
        <v>3919357545.5812511</v>
      </c>
      <c r="H96" s="181">
        <f>+'Cifras Historicas'!H76</f>
        <v>5018538778.2699986</v>
      </c>
      <c r="I96" s="181">
        <f>+'Cifras Historicas'!I76</f>
        <v>5262350703.539999</v>
      </c>
      <c r="J96" s="181">
        <f>+'Cifras Historicas'!J76</f>
        <v>4416771753.6700001</v>
      </c>
      <c r="K96" s="181">
        <f>+'Estrategias Operativas'!E29</f>
        <v>7212128497.3116503</v>
      </c>
      <c r="L96" s="181">
        <f>+'Estrategias Operativas'!F29</f>
        <v>7605492627.263133</v>
      </c>
      <c r="M96" s="181">
        <f>+'Estrategias Operativas'!G29</f>
        <v>7996618049.5280275</v>
      </c>
      <c r="N96" s="181">
        <f>+'Estrategias Operativas'!H29</f>
        <v>8670475418.9937496</v>
      </c>
      <c r="O96" s="181">
        <f>+'Estrategias Operativas'!I29</f>
        <v>9261021499.7814102</v>
      </c>
    </row>
    <row r="97" spans="1:15" ht="15.75">
      <c r="A97" s="527" t="s">
        <v>115</v>
      </c>
      <c r="B97" s="527"/>
      <c r="C97" s="527"/>
      <c r="D97" s="527"/>
      <c r="E97" s="527"/>
      <c r="F97" s="181">
        <f>+'Cifras Historicas'!F77</f>
        <v>10053003694.009998</v>
      </c>
      <c r="G97" s="181">
        <f>+'Cifras Historicas'!G77</f>
        <v>11502844480.521242</v>
      </c>
      <c r="H97" s="181">
        <f>+'Cifras Historicas'!H77</f>
        <v>12038509187.26001</v>
      </c>
      <c r="I97" s="181">
        <f>+'Cifras Historicas'!I77</f>
        <v>12700022158.659996</v>
      </c>
      <c r="J97" s="181">
        <f>+'Cifras Historicas'!J77</f>
        <v>10573762900.309999</v>
      </c>
      <c r="K97" s="181">
        <f>+'Estrategias Operativas'!E30</f>
        <v>17904762488.070969</v>
      </c>
      <c r="L97" s="181">
        <f>+'Estrategias Operativas'!F30</f>
        <v>18587419479.297432</v>
      </c>
      <c r="M97" s="181">
        <f>+'Estrategias Operativas'!G30</f>
        <v>19636185185.22625</v>
      </c>
      <c r="N97" s="181">
        <f>+'Estrategias Operativas'!H30</f>
        <v>21520758188.338173</v>
      </c>
      <c r="O97" s="181">
        <f>+'Estrategias Operativas'!I30</f>
        <v>23224739484.800243</v>
      </c>
    </row>
    <row r="98" spans="1:15" ht="15.75">
      <c r="A98" s="528" t="s">
        <v>0</v>
      </c>
      <c r="B98" s="528"/>
      <c r="C98" s="528"/>
      <c r="D98" s="528"/>
      <c r="E98" s="528"/>
      <c r="F98" s="274">
        <f t="shared" ref="F98:O98" si="22">F95-F96-F97</f>
        <v>3268287817.1499977</v>
      </c>
      <c r="G98" s="274">
        <f t="shared" si="22"/>
        <v>4184291993.9275055</v>
      </c>
      <c r="H98" s="274">
        <f t="shared" si="22"/>
        <v>4565089090.8999996</v>
      </c>
      <c r="I98" s="274">
        <f t="shared" si="22"/>
        <v>4338456308.6200008</v>
      </c>
      <c r="J98" s="274">
        <f t="shared" si="22"/>
        <v>3575268724.5999947</v>
      </c>
      <c r="K98" s="274">
        <f t="shared" si="22"/>
        <v>7473618852.287281</v>
      </c>
      <c r="L98" s="274">
        <f t="shared" si="22"/>
        <v>9502958243.2843895</v>
      </c>
      <c r="M98" s="274">
        <f t="shared" si="22"/>
        <v>12675782770.452274</v>
      </c>
      <c r="N98" s="274">
        <f t="shared" si="22"/>
        <v>15862762462.692291</v>
      </c>
      <c r="O98" s="274">
        <f t="shared" si="22"/>
        <v>20582344471.688076</v>
      </c>
    </row>
    <row r="99" spans="1:15">
      <c r="A99" s="529" t="s">
        <v>240</v>
      </c>
      <c r="B99" s="530"/>
      <c r="C99" s="530"/>
      <c r="D99" s="530"/>
      <c r="E99" s="530"/>
      <c r="F99" s="154"/>
      <c r="G99" s="154"/>
      <c r="H99" s="154"/>
      <c r="I99" s="154"/>
      <c r="J99" s="159"/>
      <c r="K99" s="258"/>
      <c r="L99" s="258"/>
      <c r="M99" s="258"/>
      <c r="N99" s="258"/>
      <c r="O99" s="258"/>
    </row>
    <row r="100" spans="1:15" ht="15.75">
      <c r="A100" s="527" t="s">
        <v>116</v>
      </c>
      <c r="B100" s="527"/>
      <c r="C100" s="527"/>
      <c r="D100" s="527"/>
      <c r="E100" s="527"/>
      <c r="F100" s="155">
        <f>+'Cifras Historicas'!F80</f>
        <v>4717768607.7700005</v>
      </c>
      <c r="G100" s="155">
        <f>+'Cifras Historicas'!G80</f>
        <v>1683091506.75</v>
      </c>
      <c r="H100" s="155">
        <f>+'Cifras Historicas'!H80</f>
        <v>259993041.26999998</v>
      </c>
      <c r="I100" s="155">
        <f>+'Cifras Historicas'!I80</f>
        <v>3769101185.6399999</v>
      </c>
      <c r="J100" s="155">
        <f>+'Cifras Historicas'!J80</f>
        <v>12795129909.43</v>
      </c>
      <c r="K100" s="155">
        <f>+K93*'Cifras Historicas'!$P$80</f>
        <v>6578738962.7898359</v>
      </c>
      <c r="L100" s="155">
        <f>+L93*'Cifras Historicas'!$P$80</f>
        <v>7112046805.1544209</v>
      </c>
      <c r="M100" s="155">
        <f>+M93*'Cifras Historicas'!$P$80</f>
        <v>7858588312.5253677</v>
      </c>
      <c r="N100" s="155">
        <f>+N93*'Cifras Historicas'!$P$80</f>
        <v>8771680831.9930172</v>
      </c>
      <c r="O100" s="155">
        <f>+O93*'Cifras Historicas'!$P$80</f>
        <v>9837576014.1330643</v>
      </c>
    </row>
    <row r="101" spans="1:15" ht="15.75">
      <c r="A101" s="527" t="s">
        <v>117</v>
      </c>
      <c r="B101" s="527"/>
      <c r="C101" s="527"/>
      <c r="D101" s="527"/>
      <c r="E101" s="527"/>
      <c r="F101" s="155">
        <f>+'Cifras Historicas'!F81</f>
        <v>130802060.67713402</v>
      </c>
      <c r="G101" s="155">
        <f>+'Cifras Historicas'!G81</f>
        <v>25649620.870000001</v>
      </c>
      <c r="H101" s="155">
        <f>+'Cifras Historicas'!H81</f>
        <v>218892588.44000006</v>
      </c>
      <c r="I101" s="155">
        <f>+'Cifras Historicas'!I81</f>
        <v>1075644921.3299999</v>
      </c>
      <c r="J101" s="155">
        <f>+'Cifras Historicas'!J81</f>
        <v>649105198.48999977</v>
      </c>
      <c r="K101" s="181">
        <f>+K93*'Cifras Historicas'!$P$81</f>
        <v>525945234.58495331</v>
      </c>
      <c r="L101" s="181">
        <f>+L93*'Cifras Historicas'!$P$81</f>
        <v>568581174.36686707</v>
      </c>
      <c r="M101" s="181">
        <f>+M93*'Cifras Historicas'!$P$81</f>
        <v>628264337.11924827</v>
      </c>
      <c r="N101" s="181">
        <f>+N93*'Cifras Historicas'!$P$81</f>
        <v>701262621.75486863</v>
      </c>
      <c r="O101" s="181">
        <f>+O93*'Cifras Historicas'!$P$81</f>
        <v>786476899.86872232</v>
      </c>
    </row>
    <row r="102" spans="1:15" ht="15.75">
      <c r="A102" s="527" t="s">
        <v>121</v>
      </c>
      <c r="B102" s="527"/>
      <c r="C102" s="527"/>
      <c r="D102" s="527"/>
      <c r="E102" s="527"/>
      <c r="F102" s="155">
        <f>+'Cifras Historicas'!F82</f>
        <v>5531624808.4628668</v>
      </c>
      <c r="G102" s="155">
        <f>+'Cifras Historicas'!G82</f>
        <v>2560661207.5900002</v>
      </c>
      <c r="H102" s="155">
        <f>+'Cifras Historicas'!H82</f>
        <v>1008727094.67</v>
      </c>
      <c r="I102" s="155">
        <f>+'Cifras Historicas'!I82</f>
        <v>3661814751.4799995</v>
      </c>
      <c r="J102" s="155">
        <f>+'Cifras Historicas'!J82</f>
        <v>13200338936</v>
      </c>
      <c r="K102" s="181">
        <f>+K93*'Cifras Historicas'!$P$82</f>
        <v>7631259945.7514648</v>
      </c>
      <c r="L102" s="181">
        <f>+L93*'Cifras Historicas'!$P$82</f>
        <v>8249890780.5073881</v>
      </c>
      <c r="M102" s="181">
        <f>+M93*'Cifras Historicas'!$P$82</f>
        <v>9115870162.7665215</v>
      </c>
      <c r="N102" s="181">
        <f>+N93*'Cifras Historicas'!$P$82</f>
        <v>10175046763.326429</v>
      </c>
      <c r="O102" s="181">
        <f>+O93*'Cifras Historicas'!$P$82</f>
        <v>11411472658.295422</v>
      </c>
    </row>
    <row r="103" spans="1:15">
      <c r="A103" s="529" t="s">
        <v>244</v>
      </c>
      <c r="B103" s="530"/>
      <c r="C103" s="530"/>
      <c r="D103" s="530"/>
      <c r="E103" s="530"/>
      <c r="F103" s="154"/>
      <c r="G103" s="154"/>
      <c r="H103" s="154"/>
      <c r="I103" s="154"/>
      <c r="J103" s="159"/>
      <c r="K103" s="258"/>
      <c r="L103" s="258"/>
      <c r="M103" s="258"/>
      <c r="N103" s="258"/>
      <c r="O103" s="258"/>
    </row>
    <row r="104" spans="1:15" ht="15.75">
      <c r="A104" s="528" t="s">
        <v>245</v>
      </c>
      <c r="B104" s="528"/>
      <c r="C104" s="528"/>
      <c r="D104" s="528"/>
      <c r="E104" s="528"/>
      <c r="F104" s="274">
        <f t="shared" ref="F104:O104" si="23">F98+F100-F101-F102</f>
        <v>2323629555.7799978</v>
      </c>
      <c r="G104" s="274">
        <f t="shared" si="23"/>
        <v>3281072672.2175055</v>
      </c>
      <c r="H104" s="274">
        <f t="shared" si="23"/>
        <v>3597462449.0599995</v>
      </c>
      <c r="I104" s="274">
        <f t="shared" si="23"/>
        <v>3370097821.4500008</v>
      </c>
      <c r="J104" s="274">
        <f t="shared" si="23"/>
        <v>2520954499.5399952</v>
      </c>
      <c r="K104" s="274">
        <f t="shared" si="23"/>
        <v>5895152634.7406998</v>
      </c>
      <c r="L104" s="274">
        <f t="shared" si="23"/>
        <v>7796533093.5645552</v>
      </c>
      <c r="M104" s="274">
        <f t="shared" si="23"/>
        <v>10790236583.091873</v>
      </c>
      <c r="N104" s="274">
        <f t="shared" si="23"/>
        <v>13758133909.604013</v>
      </c>
      <c r="O104" s="274">
        <f t="shared" si="23"/>
        <v>18221970927.656998</v>
      </c>
    </row>
    <row r="105" spans="1:15" ht="15.75">
      <c r="A105" s="527" t="s">
        <v>119</v>
      </c>
      <c r="B105" s="527"/>
      <c r="C105" s="527"/>
      <c r="D105" s="527"/>
      <c r="E105" s="527"/>
      <c r="F105" s="181">
        <f>+'Cifras Historicas'!F85</f>
        <v>659560050.19000006</v>
      </c>
      <c r="G105" s="181">
        <f>+'Cifras Historicas'!G85</f>
        <v>1157834912.323205</v>
      </c>
      <c r="H105" s="181">
        <f>+'Cifras Historicas'!H85</f>
        <v>1300251000</v>
      </c>
      <c r="I105" s="181">
        <f>+'Cifras Historicas'!I85</f>
        <v>1962957224.6700001</v>
      </c>
      <c r="J105" s="181">
        <f>+'Cifras Historicas'!J85</f>
        <v>1869093692.6900001</v>
      </c>
      <c r="K105" s="181">
        <f>+K93*'Cifras Historicas'!$P$85</f>
        <v>2055554127.157464</v>
      </c>
      <c r="L105" s="181">
        <f>+L93*'Cifras Historicas'!$P$85</f>
        <v>2222188362.4749694</v>
      </c>
      <c r="M105" s="181">
        <f>+M93*'Cifras Historicas'!$P$85</f>
        <v>2455448336.0429049</v>
      </c>
      <c r="N105" s="181">
        <f>+N93*'Cifras Historicas'!$P$85</f>
        <v>2740747860.3870649</v>
      </c>
      <c r="O105" s="181">
        <f>+O93*'Cifras Historicas'!$P$85</f>
        <v>3073791207.0159292</v>
      </c>
    </row>
    <row r="106" spans="1:15" ht="15.75">
      <c r="A106" s="528" t="s">
        <v>130</v>
      </c>
      <c r="B106" s="528"/>
      <c r="C106" s="528"/>
      <c r="D106" s="528"/>
      <c r="E106" s="528"/>
      <c r="F106" s="274">
        <f t="shared" ref="F106:O106" si="24">F104-F105</f>
        <v>1664069505.5899978</v>
      </c>
      <c r="G106" s="274">
        <f t="shared" si="24"/>
        <v>2123237759.8943005</v>
      </c>
      <c r="H106" s="274">
        <f t="shared" si="24"/>
        <v>2297211449.0599995</v>
      </c>
      <c r="I106" s="274">
        <f t="shared" si="24"/>
        <v>1407140596.7800007</v>
      </c>
      <c r="J106" s="274">
        <f t="shared" si="24"/>
        <v>651860806.84999514</v>
      </c>
      <c r="K106" s="274">
        <f t="shared" si="24"/>
        <v>3839598507.5832357</v>
      </c>
      <c r="L106" s="274">
        <f t="shared" si="24"/>
        <v>5574344731.0895863</v>
      </c>
      <c r="M106" s="274">
        <f t="shared" si="24"/>
        <v>8334788247.0489683</v>
      </c>
      <c r="N106" s="274">
        <f t="shared" si="24"/>
        <v>11017386049.216949</v>
      </c>
      <c r="O106" s="274">
        <f t="shared" si="24"/>
        <v>15148179720.641068</v>
      </c>
    </row>
    <row r="107" spans="1:15">
      <c r="K107" s="133"/>
      <c r="L107" s="133"/>
      <c r="M107" s="133"/>
      <c r="N107" s="133"/>
      <c r="O107" s="133"/>
    </row>
    <row r="108" spans="1:15">
      <c r="F108" s="275"/>
      <c r="G108" s="275"/>
      <c r="H108" s="275"/>
      <c r="I108" s="275"/>
      <c r="J108" s="275"/>
    </row>
    <row r="109" spans="1:15" ht="15.75" thickBot="1"/>
    <row r="110" spans="1:15" ht="16.5" thickBot="1">
      <c r="A110" s="44" t="s">
        <v>127</v>
      </c>
      <c r="B110" s="199"/>
      <c r="C110" s="199"/>
      <c r="D110" s="199"/>
      <c r="E110" s="199"/>
      <c r="F110" s="276">
        <f t="shared" ref="F110:O110" si="25">F91</f>
        <v>2016</v>
      </c>
      <c r="G110" s="276">
        <f t="shared" si="25"/>
        <v>2017</v>
      </c>
      <c r="H110" s="276">
        <f t="shared" si="25"/>
        <v>2018</v>
      </c>
      <c r="I110" s="276">
        <f t="shared" si="25"/>
        <v>2019</v>
      </c>
      <c r="J110" s="277">
        <f t="shared" si="25"/>
        <v>2020</v>
      </c>
      <c r="K110" s="278">
        <f t="shared" si="25"/>
        <v>2021</v>
      </c>
      <c r="L110" s="279">
        <f t="shared" si="25"/>
        <v>2022</v>
      </c>
      <c r="M110" s="279">
        <f t="shared" si="25"/>
        <v>2023</v>
      </c>
      <c r="N110" s="279">
        <f t="shared" si="25"/>
        <v>2024</v>
      </c>
      <c r="O110" s="280">
        <f t="shared" si="25"/>
        <v>2025</v>
      </c>
    </row>
    <row r="111" spans="1:15" ht="15.75">
      <c r="A111" s="31" t="s">
        <v>128</v>
      </c>
      <c r="B111" s="15"/>
      <c r="C111" s="15"/>
      <c r="D111" s="15"/>
      <c r="E111" s="15"/>
      <c r="F111" s="155">
        <f>+'Cifras Historicas'!F92</f>
        <v>624239677.62</v>
      </c>
      <c r="G111" s="155">
        <f>+'Cifras Historicas'!G92</f>
        <v>672448534.4525001</v>
      </c>
      <c r="H111" s="155">
        <f>+'Cifras Historicas'!H92</f>
        <v>544579979.86999989</v>
      </c>
      <c r="I111" s="155">
        <f>+'Cifras Historicas'!I92</f>
        <v>499801260</v>
      </c>
      <c r="J111" s="155">
        <f>+'Cifras Historicas'!J92</f>
        <v>71592658</v>
      </c>
      <c r="K111" s="281">
        <f>AVERAGE(F111:J111)</f>
        <v>482532421.9885</v>
      </c>
      <c r="L111" s="281">
        <f t="shared" ref="L111:O112" si="26">AVERAGE(G111:K111)</f>
        <v>454190970.86219996</v>
      </c>
      <c r="M111" s="281">
        <f t="shared" si="26"/>
        <v>410539458.14414001</v>
      </c>
      <c r="N111" s="281">
        <f t="shared" si="26"/>
        <v>383731353.79896796</v>
      </c>
      <c r="O111" s="281">
        <f t="shared" si="26"/>
        <v>360517372.5587616</v>
      </c>
    </row>
    <row r="112" spans="1:15" ht="16.5" thickBot="1">
      <c r="A112" s="45" t="s">
        <v>129</v>
      </c>
      <c r="B112" s="42"/>
      <c r="C112" s="42"/>
      <c r="D112" s="42"/>
      <c r="E112" s="42"/>
      <c r="F112" s="155">
        <f>+'Cifras Historicas'!F93</f>
        <v>367253033.06</v>
      </c>
      <c r="G112" s="155">
        <f>+'Cifras Historicas'!G93</f>
        <v>510204030.69000006</v>
      </c>
      <c r="H112" s="155">
        <f>+'Cifras Historicas'!H93</f>
        <v>26989121.07</v>
      </c>
      <c r="I112" s="155">
        <f>+'Cifras Historicas'!I93</f>
        <v>1330560</v>
      </c>
      <c r="J112" s="155">
        <f>+'Cifras Historicas'!J93</f>
        <v>32157915.66</v>
      </c>
      <c r="K112" s="281">
        <f>AVERAGE(F112:J112)</f>
        <v>187586932.09600002</v>
      </c>
      <c r="L112" s="281">
        <f t="shared" si="26"/>
        <v>151653711.9032</v>
      </c>
      <c r="M112" s="281">
        <f t="shared" si="26"/>
        <v>79943648.145840004</v>
      </c>
      <c r="N112" s="281">
        <f t="shared" si="26"/>
        <v>90534553.561008006</v>
      </c>
      <c r="O112" s="281">
        <f t="shared" si="26"/>
        <v>108375352.2732096</v>
      </c>
    </row>
    <row r="113" spans="1:16" ht="15.75" thickBot="1"/>
    <row r="114" spans="1:16">
      <c r="A114" s="548" t="s">
        <v>274</v>
      </c>
      <c r="B114" s="549"/>
      <c r="C114" s="549"/>
      <c r="D114" s="549"/>
      <c r="E114" s="549"/>
      <c r="F114" s="549"/>
      <c r="G114" s="549"/>
      <c r="H114" s="549"/>
      <c r="I114" s="549"/>
      <c r="J114" s="549"/>
      <c r="K114" s="549"/>
      <c r="L114" s="549"/>
      <c r="M114" s="549"/>
      <c r="N114" s="549"/>
      <c r="O114" s="549"/>
      <c r="P114" s="550"/>
    </row>
    <row r="115" spans="1:16">
      <c r="A115" s="599"/>
      <c r="B115" s="600"/>
      <c r="C115" s="600"/>
      <c r="D115" s="600"/>
      <c r="E115" s="600"/>
      <c r="F115" s="600"/>
      <c r="G115" s="600"/>
      <c r="H115" s="600"/>
      <c r="I115" s="600"/>
      <c r="J115" s="600"/>
      <c r="K115" s="600"/>
      <c r="L115" s="600"/>
      <c r="M115" s="600"/>
      <c r="N115" s="600"/>
      <c r="O115" s="600"/>
      <c r="P115" s="601"/>
    </row>
    <row r="116" spans="1:16" ht="27">
      <c r="A116" s="602"/>
      <c r="B116" s="603"/>
      <c r="C116" s="603"/>
      <c r="D116" s="603"/>
      <c r="E116" s="604"/>
      <c r="F116" s="282">
        <f t="shared" ref="F116:O116" si="27">+F110</f>
        <v>2016</v>
      </c>
      <c r="G116" s="282">
        <f t="shared" si="27"/>
        <v>2017</v>
      </c>
      <c r="H116" s="282">
        <f t="shared" si="27"/>
        <v>2018</v>
      </c>
      <c r="I116" s="282">
        <f t="shared" si="27"/>
        <v>2019</v>
      </c>
      <c r="J116" s="282">
        <f t="shared" si="27"/>
        <v>2020</v>
      </c>
      <c r="K116" s="283">
        <f t="shared" si="27"/>
        <v>2021</v>
      </c>
      <c r="L116" s="283">
        <f t="shared" si="27"/>
        <v>2022</v>
      </c>
      <c r="M116" s="283">
        <f t="shared" si="27"/>
        <v>2023</v>
      </c>
      <c r="N116" s="283">
        <f t="shared" si="27"/>
        <v>2024</v>
      </c>
      <c r="O116" s="283">
        <f t="shared" si="27"/>
        <v>2025</v>
      </c>
      <c r="P116" s="284"/>
    </row>
    <row r="117" spans="1:16">
      <c r="A117" s="175" t="s">
        <v>3</v>
      </c>
      <c r="B117" s="188"/>
      <c r="C117" s="188"/>
      <c r="D117" s="188"/>
      <c r="E117" s="188"/>
      <c r="F117" s="160">
        <f t="shared" ref="F117:O117" si="28">+F106/F59</f>
        <v>5.2549144715311316E-2</v>
      </c>
      <c r="G117" s="160">
        <f t="shared" si="28"/>
        <v>6.2736622952621363E-2</v>
      </c>
      <c r="H117" s="160">
        <f t="shared" si="28"/>
        <v>5.2354683416571714E-2</v>
      </c>
      <c r="I117" s="160">
        <f t="shared" si="28"/>
        <v>2.2291132943924288E-2</v>
      </c>
      <c r="J117" s="160">
        <f t="shared" si="28"/>
        <v>7.2396833276255988E-3</v>
      </c>
      <c r="K117" s="160">
        <f t="shared" si="28"/>
        <v>4.0032105273591509E-2</v>
      </c>
      <c r="L117" s="160">
        <f t="shared" si="28"/>
        <v>5.3760647061166046E-2</v>
      </c>
      <c r="M117" s="160">
        <f t="shared" si="28"/>
        <v>7.2747035965528603E-2</v>
      </c>
      <c r="N117" s="160">
        <f t="shared" si="28"/>
        <v>8.6151137630799707E-2</v>
      </c>
      <c r="O117" s="160">
        <f t="shared" si="28"/>
        <v>0.10561792189345748</v>
      </c>
    </row>
    <row r="118" spans="1:16">
      <c r="A118" s="175" t="s">
        <v>1</v>
      </c>
      <c r="B118" s="188"/>
      <c r="C118" s="188"/>
      <c r="D118" s="188"/>
      <c r="E118" s="188"/>
      <c r="F118" s="287">
        <f t="shared" ref="F118:O118" si="29">+F106+F105+F102+F111+F112</f>
        <v>8846747074.9228649</v>
      </c>
      <c r="G118" s="287">
        <f t="shared" si="29"/>
        <v>7024386444.9500065</v>
      </c>
      <c r="H118" s="287">
        <f t="shared" si="29"/>
        <v>5177758644.6699991</v>
      </c>
      <c r="I118" s="287">
        <f t="shared" si="29"/>
        <v>7533044392.9300003</v>
      </c>
      <c r="J118" s="287">
        <f t="shared" si="29"/>
        <v>15825044009.199995</v>
      </c>
      <c r="K118" s="287">
        <f t="shared" si="29"/>
        <v>14196531934.576666</v>
      </c>
      <c r="L118" s="287">
        <f t="shared" si="29"/>
        <v>16652268556.837345</v>
      </c>
      <c r="M118" s="287">
        <f t="shared" si="29"/>
        <v>20396589852.148373</v>
      </c>
      <c r="N118" s="287">
        <f t="shared" si="29"/>
        <v>24407446580.290421</v>
      </c>
      <c r="O118" s="287">
        <f t="shared" si="29"/>
        <v>30102336310.784389</v>
      </c>
    </row>
    <row r="119" spans="1:16">
      <c r="A119" s="175" t="s">
        <v>275</v>
      </c>
      <c r="B119" s="188"/>
      <c r="C119" s="188"/>
      <c r="D119" s="188"/>
      <c r="E119" s="188"/>
      <c r="F119" s="285">
        <f t="shared" ref="F119:O119" si="30">+F118/F93</f>
        <v>0.38426517545180339</v>
      </c>
      <c r="G119" s="285">
        <f t="shared" si="30"/>
        <v>0.26230152011545965</v>
      </c>
      <c r="H119" s="285">
        <f t="shared" si="30"/>
        <v>0.15782678589396149</v>
      </c>
      <c r="I119" s="285">
        <f t="shared" si="30"/>
        <v>0.15606720869452451</v>
      </c>
      <c r="J119" s="285">
        <f t="shared" si="30"/>
        <v>0.30958201670329399</v>
      </c>
      <c r="K119" s="285">
        <f t="shared" si="30"/>
        <v>0.26071797720659867</v>
      </c>
      <c r="L119" s="285">
        <f t="shared" si="30"/>
        <v>0.28288516237592404</v>
      </c>
      <c r="M119" s="285">
        <f t="shared" si="30"/>
        <v>0.31357713912769863</v>
      </c>
      <c r="N119" s="285">
        <f t="shared" si="30"/>
        <v>0.33617924318820791</v>
      </c>
      <c r="O119" s="285">
        <f t="shared" si="30"/>
        <v>0.36969490984913661</v>
      </c>
    </row>
  </sheetData>
  <mergeCells count="90">
    <mergeCell ref="A106:E106"/>
    <mergeCell ref="A114:P115"/>
    <mergeCell ref="A116:E116"/>
    <mergeCell ref="A100:E100"/>
    <mergeCell ref="A101:E101"/>
    <mergeCell ref="A102:E102"/>
    <mergeCell ref="A103:E103"/>
    <mergeCell ref="A104:E104"/>
    <mergeCell ref="A105:E105"/>
    <mergeCell ref="A99:E99"/>
    <mergeCell ref="A86:E86"/>
    <mergeCell ref="A88:E88"/>
    <mergeCell ref="A91:E91"/>
    <mergeCell ref="A92:E92"/>
    <mergeCell ref="A94:E94"/>
    <mergeCell ref="A95:E95"/>
    <mergeCell ref="A96:E96"/>
    <mergeCell ref="A97:E97"/>
    <mergeCell ref="A98:E98"/>
    <mergeCell ref="K92:O92"/>
    <mergeCell ref="A93:E93"/>
    <mergeCell ref="A79:E79"/>
    <mergeCell ref="A80:E80"/>
    <mergeCell ref="A81:E81"/>
    <mergeCell ref="A82:E82"/>
    <mergeCell ref="A83:E83"/>
    <mergeCell ref="A84:E84"/>
    <mergeCell ref="R63:AA63"/>
    <mergeCell ref="A78:E78"/>
    <mergeCell ref="A65:E65"/>
    <mergeCell ref="A66:E66"/>
    <mergeCell ref="A67:E67"/>
    <mergeCell ref="A68:E68"/>
    <mergeCell ref="A69:E69"/>
    <mergeCell ref="A70:E70"/>
    <mergeCell ref="A71:E71"/>
    <mergeCell ref="A72:E72"/>
    <mergeCell ref="A73:E73"/>
    <mergeCell ref="A75:E75"/>
    <mergeCell ref="A77:E77"/>
    <mergeCell ref="A64:E64"/>
    <mergeCell ref="A52:E52"/>
    <mergeCell ref="A53:E53"/>
    <mergeCell ref="A54:E54"/>
    <mergeCell ref="A55:E55"/>
    <mergeCell ref="A56:E56"/>
    <mergeCell ref="A57:E57"/>
    <mergeCell ref="A59:E59"/>
    <mergeCell ref="A61:E61"/>
    <mergeCell ref="A62:E62"/>
    <mergeCell ref="A63:E63"/>
    <mergeCell ref="A51:E51"/>
    <mergeCell ref="A40:P40"/>
    <mergeCell ref="A41:P41"/>
    <mergeCell ref="A42:P42"/>
    <mergeCell ref="A43:E43"/>
    <mergeCell ref="A44:E44"/>
    <mergeCell ref="A45:E45"/>
    <mergeCell ref="A46:E46"/>
    <mergeCell ref="A47:E47"/>
    <mergeCell ref="A48:E48"/>
    <mergeCell ref="A49:E49"/>
    <mergeCell ref="A50:E50"/>
    <mergeCell ref="A38:P39"/>
    <mergeCell ref="A27:P27"/>
    <mergeCell ref="F28:J28"/>
    <mergeCell ref="K28:O28"/>
    <mergeCell ref="A29:E29"/>
    <mergeCell ref="A30:E30"/>
    <mergeCell ref="K30:O33"/>
    <mergeCell ref="A31:E31"/>
    <mergeCell ref="A32:E32"/>
    <mergeCell ref="A33:E33"/>
    <mergeCell ref="A34:E34"/>
    <mergeCell ref="A35:E35"/>
    <mergeCell ref="G35:J35"/>
    <mergeCell ref="K35:O35"/>
    <mergeCell ref="A37:O37"/>
    <mergeCell ref="R19:AB19"/>
    <mergeCell ref="A20:E20"/>
    <mergeCell ref="A22:P23"/>
    <mergeCell ref="A24:P24"/>
    <mergeCell ref="A25:P25"/>
    <mergeCell ref="A26:P26"/>
    <mergeCell ref="A6:P10"/>
    <mergeCell ref="A14:P15"/>
    <mergeCell ref="A16:P16"/>
    <mergeCell ref="A17:P17"/>
    <mergeCell ref="A18:P18"/>
    <mergeCell ref="A19:P19"/>
  </mergeCells>
  <hyperlinks>
    <hyperlink ref="A1" location="CONTENIDO!A28" display="MENU PRINCIPAL" xr:uid="{00000000-0004-0000-1100-000000000000}"/>
  </hyperlink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9457" r:id="rId4" name="CommandButton1">
          <controlPr defaultSize="0" autoLine="0" r:id="rId5">
            <anchor moveWithCells="1">
              <from>
                <xdr:col>15</xdr:col>
                <xdr:colOff>190500</xdr:colOff>
                <xdr:row>76</xdr:row>
                <xdr:rowOff>0</xdr:rowOff>
              </from>
              <to>
                <xdr:col>17</xdr:col>
                <xdr:colOff>714375</xdr:colOff>
                <xdr:row>81</xdr:row>
                <xdr:rowOff>28575</xdr:rowOff>
              </to>
            </anchor>
          </controlPr>
        </control>
      </mc:Choice>
      <mc:Fallback>
        <control shapeId="19457" r:id="rId4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0">
    <tabColor rgb="FF00B050"/>
  </sheetPr>
  <dimension ref="A1:Q201"/>
  <sheetViews>
    <sheetView zoomScale="85" zoomScaleNormal="85" workbookViewId="0"/>
  </sheetViews>
  <sheetFormatPr baseColWidth="10" defaultColWidth="11" defaultRowHeight="15"/>
  <cols>
    <col min="1" max="1" width="29" style="2" customWidth="1"/>
    <col min="2" max="4" width="11" style="2"/>
    <col min="5" max="5" width="20.28515625" style="2" bestFit="1" customWidth="1"/>
    <col min="6" max="6" width="45" style="2" bestFit="1" customWidth="1"/>
    <col min="7" max="7" width="22.42578125" style="2" bestFit="1" customWidth="1"/>
    <col min="8" max="9" width="22.5703125" style="2" bestFit="1" customWidth="1"/>
    <col min="10" max="10" width="28.7109375" style="2" bestFit="1" customWidth="1"/>
    <col min="11" max="11" width="22" style="2" customWidth="1"/>
    <col min="12" max="12" width="11.42578125" style="2" bestFit="1" customWidth="1"/>
    <col min="13" max="13" width="12.140625" style="2" bestFit="1" customWidth="1"/>
    <col min="14" max="14" width="15.7109375" style="2" bestFit="1" customWidth="1"/>
    <col min="15" max="15" width="14.5703125" style="2" bestFit="1" customWidth="1"/>
    <col min="16" max="16" width="18.7109375" style="2" bestFit="1" customWidth="1"/>
    <col min="17" max="17" width="11.5703125" style="2" bestFit="1" customWidth="1"/>
    <col min="18" max="16384" width="11" style="2"/>
  </cols>
  <sheetData>
    <row r="1" spans="1:17" ht="27" thickBot="1">
      <c r="A1" s="147" t="s">
        <v>191</v>
      </c>
    </row>
    <row r="2" spans="1:17" ht="15.75" thickBot="1"/>
    <row r="3" spans="1:17">
      <c r="A3" s="548" t="s">
        <v>324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49"/>
      <c r="Q3" s="550"/>
    </row>
    <row r="4" spans="1:17" ht="15.75" thickBot="1">
      <c r="A4" s="551"/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3"/>
    </row>
    <row r="5" spans="1:17" ht="23.25">
      <c r="A5" s="537" t="str">
        <f>+'Estados Finan + Estrategia'!A16:P16</f>
        <v>FARMACÉUTICAS SAS</v>
      </c>
      <c r="B5" s="538"/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8"/>
      <c r="O5" s="538"/>
      <c r="P5" s="538"/>
      <c r="Q5" s="554"/>
    </row>
    <row r="6" spans="1:17">
      <c r="A6" s="494" t="s">
        <v>277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555"/>
    </row>
    <row r="7" spans="1:17">
      <c r="A7" s="494" t="s">
        <v>207</v>
      </c>
      <c r="B7" s="495"/>
      <c r="C7" s="495"/>
      <c r="D7" s="495"/>
      <c r="E7" s="495"/>
      <c r="F7" s="495"/>
      <c r="G7" s="495"/>
      <c r="H7" s="495"/>
      <c r="I7" s="495"/>
      <c r="J7" s="495"/>
      <c r="K7" s="495"/>
      <c r="L7" s="495"/>
      <c r="M7" s="495"/>
      <c r="N7" s="495"/>
      <c r="O7" s="495"/>
      <c r="P7" s="495"/>
      <c r="Q7" s="555"/>
    </row>
    <row r="8" spans="1:17" ht="15.75" thickBot="1">
      <c r="A8" s="519" t="s">
        <v>208</v>
      </c>
      <c r="B8" s="520"/>
      <c r="C8" s="520"/>
      <c r="D8" s="520"/>
      <c r="E8" s="520"/>
      <c r="F8" s="520"/>
      <c r="G8" s="520"/>
      <c r="H8" s="520"/>
      <c r="I8" s="520"/>
      <c r="J8" s="520"/>
      <c r="K8" s="520"/>
      <c r="L8" s="520"/>
      <c r="M8" s="520"/>
      <c r="N8" s="520"/>
      <c r="O8" s="520"/>
      <c r="P8" s="520"/>
      <c r="Q8" s="563"/>
    </row>
    <row r="9" spans="1:17" ht="20.25" thickBot="1">
      <c r="A9" s="662" t="s">
        <v>325</v>
      </c>
      <c r="B9" s="663"/>
      <c r="C9" s="663"/>
      <c r="D9" s="663"/>
      <c r="E9" s="663"/>
      <c r="F9" s="664"/>
      <c r="G9" s="310"/>
      <c r="H9" s="310"/>
      <c r="I9" s="310"/>
      <c r="J9" s="310"/>
      <c r="K9" s="310"/>
      <c r="L9" s="310"/>
      <c r="M9" s="310"/>
      <c r="N9" s="310"/>
      <c r="O9" s="310"/>
    </row>
    <row r="10" spans="1:17" ht="20.25" thickBot="1">
      <c r="A10" s="665" t="s">
        <v>326</v>
      </c>
      <c r="B10" s="666"/>
      <c r="C10" s="666"/>
      <c r="D10" s="666"/>
      <c r="E10" s="666"/>
      <c r="F10" s="667"/>
      <c r="G10" s="310"/>
      <c r="H10" s="310"/>
      <c r="I10" s="662" t="s">
        <v>327</v>
      </c>
      <c r="J10" s="663"/>
      <c r="K10" s="663"/>
      <c r="L10" s="663"/>
      <c r="M10" s="663"/>
      <c r="N10" s="664"/>
      <c r="O10" s="310"/>
    </row>
    <row r="11" spans="1:17" ht="30.75" thickBot="1">
      <c r="A11" s="668" t="s">
        <v>138</v>
      </c>
      <c r="B11" s="669"/>
      <c r="C11" s="669"/>
      <c r="D11" s="669"/>
      <c r="E11" s="670"/>
      <c r="F11" s="311">
        <f>'Analisis Financiero'!J29</f>
        <v>2020</v>
      </c>
      <c r="G11" s="310"/>
      <c r="H11" s="310"/>
      <c r="I11" s="312" t="s">
        <v>328</v>
      </c>
      <c r="J11" s="313" t="s">
        <v>329</v>
      </c>
      <c r="K11" s="313" t="s">
        <v>330</v>
      </c>
      <c r="L11" s="313" t="s">
        <v>331</v>
      </c>
      <c r="M11" s="313" t="s">
        <v>332</v>
      </c>
      <c r="N11" s="314" t="s">
        <v>333</v>
      </c>
      <c r="O11" s="315"/>
    </row>
    <row r="12" spans="1:17" ht="18">
      <c r="A12" s="671" t="s">
        <v>334</v>
      </c>
      <c r="B12" s="671"/>
      <c r="C12" s="671"/>
      <c r="D12" s="671"/>
      <c r="E12" s="671"/>
      <c r="F12" s="316">
        <f>AVERAGE(K12:K21)</f>
        <v>4.35069572829615E-2</v>
      </c>
      <c r="G12" s="672" t="s">
        <v>335</v>
      </c>
      <c r="H12" s="317"/>
      <c r="I12" s="318">
        <v>2010</v>
      </c>
      <c r="J12" s="238">
        <v>0.14821092278719414</v>
      </c>
      <c r="K12" s="238">
        <v>8.4629338803557719E-2</v>
      </c>
      <c r="L12" s="238">
        <v>1.6400399999999999E-2</v>
      </c>
      <c r="M12" s="238">
        <v>3.1699999999999999E-2</v>
      </c>
      <c r="N12" s="238">
        <v>1.72E-2</v>
      </c>
      <c r="O12" s="319"/>
      <c r="P12" s="118"/>
    </row>
    <row r="13" spans="1:17">
      <c r="A13" s="673" t="s">
        <v>336</v>
      </c>
      <c r="B13" s="673"/>
      <c r="C13" s="673"/>
      <c r="D13" s="673"/>
      <c r="E13" s="673"/>
      <c r="F13" s="316">
        <f>AVERAGE(L12:L21)</f>
        <v>1.8196170000000001E-2</v>
      </c>
      <c r="G13" s="672"/>
      <c r="H13" s="317"/>
      <c r="I13" s="318">
        <v>2011</v>
      </c>
      <c r="J13" s="238">
        <v>2.09837473362805E-2</v>
      </c>
      <c r="K13" s="238">
        <v>0.16035334999461354</v>
      </c>
      <c r="L13" s="238">
        <v>3.1568399999999996E-2</v>
      </c>
      <c r="M13" s="238">
        <v>3.73E-2</v>
      </c>
      <c r="N13" s="238">
        <v>1.95E-2</v>
      </c>
      <c r="O13" s="319"/>
    </row>
    <row r="14" spans="1:17">
      <c r="A14" s="671" t="s">
        <v>337</v>
      </c>
      <c r="B14" s="671"/>
      <c r="C14" s="671"/>
      <c r="D14" s="671"/>
      <c r="E14" s="671"/>
      <c r="F14" s="320">
        <f>+((1+F12)/(1+F13))-1</f>
        <v>2.4858458545332862E-2</v>
      </c>
      <c r="G14" s="672"/>
      <c r="H14" s="317"/>
      <c r="I14" s="318">
        <v>2012</v>
      </c>
      <c r="J14" s="238">
        <v>0.15890585241730293</v>
      </c>
      <c r="K14" s="238">
        <v>2.971571978018946E-2</v>
      </c>
      <c r="L14" s="238">
        <v>2.0693400000000001E-2</v>
      </c>
      <c r="M14" s="238">
        <v>2.4400000000000002E-2</v>
      </c>
      <c r="N14" s="238">
        <v>1.12E-2</v>
      </c>
      <c r="O14" s="319"/>
    </row>
    <row r="15" spans="1:17">
      <c r="A15" s="267"/>
      <c r="B15" s="310"/>
      <c r="C15" s="310"/>
      <c r="D15" s="310"/>
      <c r="E15" s="310"/>
      <c r="F15" s="310"/>
      <c r="G15" s="672"/>
      <c r="H15" s="317"/>
      <c r="I15" s="318">
        <v>2013</v>
      </c>
      <c r="J15" s="238">
        <v>0.32145085858125483</v>
      </c>
      <c r="K15" s="238">
        <v>-9.104568794347262E-2</v>
      </c>
      <c r="L15" s="238">
        <v>1.4648300000000001E-2</v>
      </c>
      <c r="M15" s="238">
        <v>1.9400000000000001E-2</v>
      </c>
      <c r="N15" s="238">
        <v>1.66E-2</v>
      </c>
      <c r="O15" s="319"/>
    </row>
    <row r="16" spans="1:17">
      <c r="A16" s="673" t="s">
        <v>338</v>
      </c>
      <c r="B16" s="673"/>
      <c r="C16" s="673"/>
      <c r="D16" s="673"/>
      <c r="E16" s="673"/>
      <c r="F16" s="316">
        <f>AVERAGE(M12:M21)</f>
        <v>3.8529999999999995E-2</v>
      </c>
      <c r="G16" s="672"/>
      <c r="H16" s="317"/>
      <c r="I16" s="318">
        <v>2014</v>
      </c>
      <c r="J16" s="238">
        <v>0.13524421649462237</v>
      </c>
      <c r="K16" s="238">
        <v>0.10746180452004755</v>
      </c>
      <c r="L16" s="238">
        <v>1.6222199999999999E-2</v>
      </c>
      <c r="M16" s="238">
        <v>3.6600000000000001E-2</v>
      </c>
      <c r="N16" s="238">
        <v>1.9599999999999999E-2</v>
      </c>
      <c r="O16" s="319"/>
    </row>
    <row r="17" spans="1:15">
      <c r="A17" s="671" t="s">
        <v>339</v>
      </c>
      <c r="B17" s="671"/>
      <c r="C17" s="671"/>
      <c r="D17" s="671"/>
      <c r="E17" s="671"/>
      <c r="F17" s="321">
        <f>+((1+F16)*(1+F14))-1</f>
        <v>6.4346254953084436E-2</v>
      </c>
      <c r="G17" s="672"/>
      <c r="H17" s="317"/>
      <c r="I17" s="318">
        <v>2015</v>
      </c>
      <c r="J17" s="238">
        <v>1.3788916411676138E-2</v>
      </c>
      <c r="K17" s="238">
        <v>1.2842996709792224E-2</v>
      </c>
      <c r="L17" s="238">
        <v>1.1862999999999999E-3</v>
      </c>
      <c r="M17" s="238">
        <v>6.7699999999999996E-2</v>
      </c>
      <c r="N17" s="238">
        <v>3.2099999999999997E-2</v>
      </c>
      <c r="O17" s="319"/>
    </row>
    <row r="18" spans="1:15">
      <c r="A18" s="267"/>
      <c r="B18" s="310"/>
      <c r="C18" s="310"/>
      <c r="D18" s="310"/>
      <c r="E18" s="310"/>
      <c r="F18" s="310"/>
      <c r="G18" s="310"/>
      <c r="H18" s="310"/>
      <c r="I18" s="318">
        <v>2016</v>
      </c>
      <c r="J18" s="238">
        <v>0.11773080874798171</v>
      </c>
      <c r="K18" s="238">
        <v>6.9055046987477921E-3</v>
      </c>
      <c r="L18" s="238">
        <v>1.26158E-2</v>
      </c>
      <c r="M18" s="238">
        <v>5.7500000000000002E-2</v>
      </c>
      <c r="N18" s="238">
        <v>2.2700000000000001E-2</v>
      </c>
      <c r="O18" s="319"/>
    </row>
    <row r="19" spans="1:15">
      <c r="A19" s="677" t="s">
        <v>340</v>
      </c>
      <c r="B19" s="677"/>
      <c r="C19" s="677"/>
      <c r="D19" s="677"/>
      <c r="E19" s="677"/>
      <c r="F19" s="316">
        <f>AVERAGE(N12:N21)</f>
        <v>1.9550000000000001E-2</v>
      </c>
      <c r="G19" s="678" t="s">
        <v>341</v>
      </c>
      <c r="H19" s="310"/>
      <c r="I19" s="318">
        <v>2017</v>
      </c>
      <c r="J19" s="238">
        <v>0.2160548143449928</v>
      </c>
      <c r="K19" s="238">
        <v>2.8017162707789457E-2</v>
      </c>
      <c r="L19" s="238">
        <v>2.1301100000000003E-2</v>
      </c>
      <c r="M19" s="238">
        <v>4.0899999999999999E-2</v>
      </c>
      <c r="N19" s="238">
        <v>1.7399999999999999E-2</v>
      </c>
      <c r="O19" s="319"/>
    </row>
    <row r="20" spans="1:15">
      <c r="A20" s="679"/>
      <c r="B20" s="680"/>
      <c r="C20" s="680"/>
      <c r="D20" s="680"/>
      <c r="E20" s="680"/>
      <c r="F20" s="681"/>
      <c r="G20" s="678"/>
      <c r="H20" s="310"/>
      <c r="I20" s="318">
        <v>2018</v>
      </c>
      <c r="J20" s="238">
        <v>-4.2268692890885438E-2</v>
      </c>
      <c r="K20" s="238">
        <v>-1.6692385713402633E-4</v>
      </c>
      <c r="L20" s="238">
        <v>2.4425800000000001E-2</v>
      </c>
      <c r="M20" s="238">
        <v>3.1800000000000002E-2</v>
      </c>
      <c r="N20" s="238">
        <v>2.3099999999999999E-2</v>
      </c>
      <c r="O20" s="319"/>
    </row>
    <row r="21" spans="1:15">
      <c r="A21" s="267"/>
      <c r="B21" s="310"/>
      <c r="C21" s="310"/>
      <c r="D21" s="310"/>
      <c r="E21" s="310"/>
      <c r="F21" s="310"/>
      <c r="G21" s="310"/>
      <c r="H21" s="310"/>
      <c r="I21" s="318">
        <v>2019</v>
      </c>
      <c r="J21" s="238">
        <v>0.31223647206653782</v>
      </c>
      <c r="K21" s="238">
        <v>9.6356307415483927E-2</v>
      </c>
      <c r="L21" s="238">
        <v>2.29E-2</v>
      </c>
      <c r="M21" s="238">
        <v>3.7999999999999999E-2</v>
      </c>
      <c r="N21" s="238">
        <v>1.61E-2</v>
      </c>
      <c r="O21" s="319"/>
    </row>
    <row r="22" spans="1:15" ht="18">
      <c r="A22" s="682" t="s">
        <v>342</v>
      </c>
      <c r="B22" s="682"/>
      <c r="C22" s="682"/>
      <c r="D22" s="682"/>
      <c r="E22" s="682"/>
      <c r="F22" s="316">
        <f>AVERAGE(J12:J21)</f>
        <v>0.14023379162969576</v>
      </c>
      <c r="G22" s="683" t="s">
        <v>343</v>
      </c>
      <c r="I22" s="310"/>
      <c r="O22" s="319"/>
    </row>
    <row r="23" spans="1:15">
      <c r="A23" s="684" t="s">
        <v>336</v>
      </c>
      <c r="B23" s="684"/>
      <c r="C23" s="684"/>
      <c r="D23" s="684"/>
      <c r="E23" s="684"/>
      <c r="F23" s="316">
        <f>+F13</f>
        <v>1.8196170000000001E-2</v>
      </c>
      <c r="G23" s="683"/>
    </row>
    <row r="24" spans="1:15">
      <c r="A24" s="685" t="s">
        <v>344</v>
      </c>
      <c r="B24" s="685"/>
      <c r="C24" s="685"/>
      <c r="D24" s="685"/>
      <c r="E24" s="685"/>
      <c r="F24" s="320">
        <f>+((1+F22)/(1+F23))-1</f>
        <v>0.11985668894206891</v>
      </c>
      <c r="G24" s="683"/>
    </row>
    <row r="25" spans="1:15">
      <c r="G25" s="683"/>
    </row>
    <row r="26" spans="1:15">
      <c r="A26" s="684" t="s">
        <v>338</v>
      </c>
      <c r="B26" s="684"/>
      <c r="C26" s="684"/>
      <c r="D26" s="684"/>
      <c r="E26" s="684"/>
      <c r="F26" s="316">
        <f>+F16</f>
        <v>3.8529999999999995E-2</v>
      </c>
      <c r="G26" s="683"/>
    </row>
    <row r="27" spans="1:15">
      <c r="A27" s="685" t="s">
        <v>345</v>
      </c>
      <c r="B27" s="685"/>
      <c r="C27" s="685"/>
      <c r="D27" s="685"/>
      <c r="E27" s="685"/>
      <c r="F27" s="321">
        <f>+((1+F26)*(1+F24))-1</f>
        <v>0.16300476716700674</v>
      </c>
      <c r="G27" s="683"/>
    </row>
    <row r="29" spans="1:15" ht="18">
      <c r="A29" s="674" t="s">
        <v>346</v>
      </c>
      <c r="B29" s="674"/>
      <c r="C29" s="674"/>
      <c r="D29" s="674"/>
      <c r="E29" s="674"/>
      <c r="F29" s="322">
        <f>+F27-F17</f>
        <v>9.86585122139223E-2</v>
      </c>
    </row>
    <row r="32" spans="1:15">
      <c r="A32" s="528" t="s">
        <v>347</v>
      </c>
      <c r="B32" s="528"/>
      <c r="C32" s="528"/>
      <c r="D32" s="528"/>
      <c r="E32" s="528"/>
      <c r="F32" s="175">
        <v>1.22</v>
      </c>
      <c r="G32" s="323" t="s">
        <v>348</v>
      </c>
    </row>
    <row r="34" spans="1:11">
      <c r="F34" s="235">
        <f>'Analisis Financiero'!K29</f>
        <v>2021</v>
      </c>
      <c r="G34" s="235">
        <f>'Analisis Financiero'!L29</f>
        <v>2022</v>
      </c>
      <c r="H34" s="235">
        <f>'Analisis Financiero'!M29</f>
        <v>2023</v>
      </c>
      <c r="I34" s="235">
        <f>'Analisis Financiero'!N29</f>
        <v>2024</v>
      </c>
      <c r="J34" s="235">
        <f>'Analisis Financiero'!O29</f>
        <v>2025</v>
      </c>
    </row>
    <row r="35" spans="1:11">
      <c r="A35" s="675" t="s">
        <v>349</v>
      </c>
      <c r="B35" s="675"/>
      <c r="C35" s="675"/>
      <c r="D35" s="675"/>
      <c r="E35" s="675"/>
      <c r="F35" s="287">
        <f>+'Analisis Financiero'!J62+'Analisis Financiero'!J69</f>
        <v>9976127172.5499992</v>
      </c>
      <c r="G35" s="287">
        <f>+'Analisis Financiero'!K62+'Analisis Financiero'!K69</f>
        <v>10521621806.345034</v>
      </c>
      <c r="H35" s="287">
        <f>+'Analisis Financiero'!L62+'Analisis Financiero'!L69</f>
        <v>11151530260.647299</v>
      </c>
      <c r="I35" s="287">
        <f>+'Analisis Financiero'!M62+'Analisis Financiero'!M69</f>
        <v>11905401585.092709</v>
      </c>
      <c r="J35" s="287">
        <f>+'Analisis Financiero'!N62+'Analisis Financiero'!N69</f>
        <v>12777591305.216602</v>
      </c>
      <c r="K35" s="2" t="s">
        <v>350</v>
      </c>
    </row>
    <row r="36" spans="1:11">
      <c r="A36" s="675" t="s">
        <v>351</v>
      </c>
      <c r="B36" s="675"/>
      <c r="C36" s="675"/>
      <c r="D36" s="675"/>
      <c r="E36" s="675"/>
      <c r="F36" s="287">
        <f>+'Analisis Financiero'!J84</f>
        <v>10580415189.619999</v>
      </c>
      <c r="G36" s="287">
        <f>+'Analisis Financiero'!K84</f>
        <v>11158952291.260279</v>
      </c>
      <c r="H36" s="287">
        <f>+'Analisis Financiero'!L84</f>
        <v>11827016447.033443</v>
      </c>
      <c r="I36" s="287">
        <f>+'Analisis Financiero'!M84</f>
        <v>12626552326.394011</v>
      </c>
      <c r="J36" s="287">
        <f>+'Analisis Financiero'!N84</f>
        <v>13551573549.825659</v>
      </c>
      <c r="K36" s="2" t="s">
        <v>352</v>
      </c>
    </row>
    <row r="37" spans="1:11">
      <c r="A37" s="675" t="s">
        <v>353</v>
      </c>
      <c r="B37" s="675"/>
      <c r="C37" s="675"/>
      <c r="D37" s="675"/>
      <c r="E37" s="675"/>
      <c r="F37" s="324">
        <f>+$F$32*(1+(1-('Analisis Financiero'!K105/'Analisis Financiero'!K104))*(F35/F36))</f>
        <v>1.8902178223462973</v>
      </c>
      <c r="G37" s="324">
        <f>+$F$32*(1+(1-('Analisis Financiero'!L105/'Analisis Financiero'!L104))*(G35/G36))</f>
        <v>1.8902178224020421</v>
      </c>
      <c r="H37" s="324">
        <f>+$F$32*(1+(1-('Analisis Financiero'!M105/'Analisis Financiero'!M104))*(H35/H36))</f>
        <v>1.8902178224020425</v>
      </c>
      <c r="I37" s="324">
        <f>+$F$32*(1+(1-('Analisis Financiero'!N105/'Analisis Financiero'!N104))*(I35/I36))</f>
        <v>1.8902178224020436</v>
      </c>
      <c r="J37" s="324">
        <f>+$F$32*(1+(1-('Analisis Financiero'!O105/'Analisis Financiero'!O104))*(J35/J36))</f>
        <v>1.8902178224020425</v>
      </c>
      <c r="K37" s="2" t="s">
        <v>354</v>
      </c>
    </row>
    <row r="39" spans="1:11" ht="18">
      <c r="A39" s="676" t="s">
        <v>355</v>
      </c>
      <c r="B39" s="676"/>
      <c r="C39" s="676"/>
      <c r="D39" s="676"/>
      <c r="E39" s="676"/>
      <c r="F39" s="182">
        <f>+$F$17+($F$27-$F$17)*F37+$F$19</f>
        <v>0.27038233306601023</v>
      </c>
      <c r="G39" s="182">
        <f t="shared" ref="G39:J39" si="0">+$F$17+($F$27-$F$17)*G37+$F$19</f>
        <v>0.27038233307150994</v>
      </c>
      <c r="H39" s="182">
        <f t="shared" si="0"/>
        <v>0.27038233307150999</v>
      </c>
      <c r="I39" s="182">
        <f t="shared" si="0"/>
        <v>0.27038233307151011</v>
      </c>
      <c r="J39" s="182">
        <f t="shared" si="0"/>
        <v>0.27038233307150999</v>
      </c>
    </row>
    <row r="42" spans="1:11">
      <c r="A42" s="693" t="s">
        <v>356</v>
      </c>
      <c r="B42" s="694"/>
      <c r="C42" s="694"/>
      <c r="D42" s="694"/>
      <c r="E42" s="695"/>
      <c r="F42" s="160">
        <f>+F35/(F35+F36)</f>
        <v>0.48530180790077654</v>
      </c>
      <c r="G42" s="160">
        <f t="shared" ref="G42:J42" si="1">+G35/(G35+G36)</f>
        <v>0.4853018079215522</v>
      </c>
      <c r="H42" s="160">
        <f t="shared" si="1"/>
        <v>0.48530180792155242</v>
      </c>
      <c r="I42" s="160">
        <f t="shared" si="1"/>
        <v>0.48530180792155264</v>
      </c>
      <c r="J42" s="160">
        <f t="shared" si="1"/>
        <v>0.48530180792155225</v>
      </c>
    </row>
    <row r="43" spans="1:11">
      <c r="A43" s="693" t="s">
        <v>357</v>
      </c>
      <c r="B43" s="694"/>
      <c r="C43" s="694"/>
      <c r="D43" s="694"/>
      <c r="E43" s="695"/>
      <c r="F43" s="160">
        <f>+F36/(F35+F36)</f>
        <v>0.51469819209922352</v>
      </c>
      <c r="G43" s="160">
        <f t="shared" ref="G43:J43" si="2">+G36/(G35+G36)</f>
        <v>0.5146981920784478</v>
      </c>
      <c r="H43" s="160">
        <f t="shared" si="2"/>
        <v>0.51469819207844769</v>
      </c>
      <c r="I43" s="160">
        <f t="shared" si="2"/>
        <v>0.51469819207844747</v>
      </c>
      <c r="J43" s="160">
        <f t="shared" si="2"/>
        <v>0.5146981920784478</v>
      </c>
    </row>
    <row r="44" spans="1:11">
      <c r="A44" s="696" t="s">
        <v>358</v>
      </c>
      <c r="B44" s="697"/>
      <c r="C44" s="697"/>
      <c r="D44" s="697"/>
      <c r="E44" s="698"/>
      <c r="F44" s="182">
        <f>+F42+F43</f>
        <v>1</v>
      </c>
      <c r="G44" s="182">
        <f t="shared" ref="G44:J44" si="3">+G42+G43</f>
        <v>1</v>
      </c>
      <c r="H44" s="182">
        <f t="shared" si="3"/>
        <v>1</v>
      </c>
      <c r="I44" s="182">
        <f t="shared" si="3"/>
        <v>1</v>
      </c>
      <c r="J44" s="182">
        <f t="shared" si="3"/>
        <v>1</v>
      </c>
    </row>
    <row r="46" spans="1:11">
      <c r="A46" s="675" t="s">
        <v>359</v>
      </c>
      <c r="B46" s="675"/>
      <c r="C46" s="675"/>
      <c r="D46" s="675"/>
      <c r="E46" s="675"/>
      <c r="F46" s="161">
        <f>+'Analisis Financiero'!X21*(1-('Analisis Financiero'!K105/'Analisis Financiero'!K104))</f>
        <v>5.418509308820485E-2</v>
      </c>
      <c r="G46" s="161">
        <f>+'Analisis Financiero'!Y21*(1-('Analisis Financiero'!L105/'Analisis Financiero'!L104))</f>
        <v>4.8591793156517918E-2</v>
      </c>
      <c r="H46" s="161">
        <f>+'Analisis Financiero'!Z21*(1-('Analisis Financiero'!M105/'Analisis Financiero'!M104))</f>
        <v>4.4408470915945908E-2</v>
      </c>
      <c r="I46" s="161">
        <f>+'Analisis Financiero'!AA21*(1-('Analisis Financiero'!N105/'Analisis Financiero'!N104))</f>
        <v>3.6575520469948213E-2</v>
      </c>
      <c r="J46" s="161">
        <f>+'Analisis Financiero'!AB21*(1-('Analisis Financiero'!O105/'Analisis Financiero'!O104))</f>
        <v>3.1293813955291315E-2</v>
      </c>
      <c r="K46" s="2" t="s">
        <v>360</v>
      </c>
    </row>
    <row r="48" spans="1:11">
      <c r="A48" s="675" t="s">
        <v>361</v>
      </c>
      <c r="B48" s="675"/>
      <c r="C48" s="675"/>
      <c r="D48" s="675"/>
      <c r="E48" s="675"/>
      <c r="F48" s="160">
        <f>+F42*F46</f>
        <v>2.6296123636977684E-2</v>
      </c>
      <c r="G48" s="160">
        <f t="shared" ref="G48:J48" si="4">+G42*G46</f>
        <v>2.3581685069008252E-2</v>
      </c>
      <c r="H48" s="160">
        <f t="shared" si="4"/>
        <v>2.1551511222540228E-2</v>
      </c>
      <c r="I48" s="160">
        <f t="shared" si="4"/>
        <v>1.7750166209737624E-2</v>
      </c>
      <c r="J48" s="160">
        <f t="shared" si="4"/>
        <v>1.5186944489263577E-2</v>
      </c>
    </row>
    <row r="49" spans="1:17">
      <c r="A49" s="675" t="s">
        <v>362</v>
      </c>
      <c r="B49" s="675"/>
      <c r="C49" s="675"/>
      <c r="D49" s="675"/>
      <c r="E49" s="675"/>
      <c r="F49" s="160">
        <f>+F43*F39</f>
        <v>0.13916529800464555</v>
      </c>
      <c r="G49" s="160">
        <f t="shared" ref="G49:J49" si="5">+G43*G39</f>
        <v>0.13916529800185887</v>
      </c>
      <c r="H49" s="160">
        <f t="shared" si="5"/>
        <v>0.13916529800185887</v>
      </c>
      <c r="I49" s="160">
        <f t="shared" si="5"/>
        <v>0.13916529800185887</v>
      </c>
      <c r="J49" s="160">
        <f t="shared" si="5"/>
        <v>0.13916529800185889</v>
      </c>
    </row>
    <row r="51" spans="1:17">
      <c r="A51" s="686" t="s">
        <v>363</v>
      </c>
      <c r="B51" s="686"/>
      <c r="C51" s="686"/>
      <c r="D51" s="686"/>
      <c r="E51" s="686"/>
      <c r="F51" s="161">
        <f>+F49+F48</f>
        <v>0.16546142164162325</v>
      </c>
      <c r="G51" s="161">
        <f t="shared" ref="G51:J51" si="6">+G49+G48</f>
        <v>0.16274698307086713</v>
      </c>
      <c r="H51" s="161">
        <f t="shared" si="6"/>
        <v>0.1607168092243991</v>
      </c>
      <c r="I51" s="161">
        <f t="shared" si="6"/>
        <v>0.15691546421159649</v>
      </c>
      <c r="J51" s="161">
        <f t="shared" si="6"/>
        <v>0.15435224249112248</v>
      </c>
    </row>
    <row r="52" spans="1:17" ht="15.75" thickBot="1">
      <c r="A52" s="194"/>
      <c r="B52" s="194"/>
      <c r="C52" s="194"/>
      <c r="D52" s="194"/>
      <c r="E52" s="194"/>
      <c r="F52" s="196"/>
      <c r="G52" s="196"/>
      <c r="H52" s="196"/>
      <c r="I52" s="196"/>
      <c r="J52" s="196"/>
    </row>
    <row r="53" spans="1:17" ht="15" customHeight="1">
      <c r="A53" s="548" t="s">
        <v>364</v>
      </c>
      <c r="B53" s="549"/>
      <c r="C53" s="549"/>
      <c r="D53" s="549"/>
      <c r="E53" s="549"/>
      <c r="F53" s="549"/>
      <c r="G53" s="549"/>
      <c r="H53" s="549"/>
      <c r="I53" s="549"/>
      <c r="J53" s="550"/>
      <c r="K53" s="325"/>
      <c r="L53" s="325"/>
      <c r="M53" s="325"/>
      <c r="N53" s="325"/>
      <c r="O53" s="325"/>
      <c r="P53" s="325"/>
      <c r="Q53" s="325"/>
    </row>
    <row r="54" spans="1:17" ht="15.75" customHeight="1" thickBot="1">
      <c r="A54" s="551"/>
      <c r="B54" s="552"/>
      <c r="C54" s="552"/>
      <c r="D54" s="552"/>
      <c r="E54" s="552"/>
      <c r="F54" s="552"/>
      <c r="G54" s="552"/>
      <c r="H54" s="552"/>
      <c r="I54" s="552"/>
      <c r="J54" s="553"/>
      <c r="K54" s="325"/>
      <c r="L54" s="325"/>
      <c r="M54" s="325"/>
      <c r="N54" s="325"/>
      <c r="O54" s="325"/>
      <c r="P54" s="325"/>
      <c r="Q54" s="325"/>
    </row>
    <row r="55" spans="1:17" ht="15.75" thickBot="1"/>
    <row r="56" spans="1:17">
      <c r="A56" s="326"/>
      <c r="B56" s="687"/>
      <c r="C56" s="688"/>
      <c r="D56" s="688"/>
      <c r="E56" s="689"/>
      <c r="F56" s="288">
        <f>F34</f>
        <v>2021</v>
      </c>
      <c r="G56" s="288">
        <f>G34</f>
        <v>2022</v>
      </c>
      <c r="H56" s="288">
        <f>H34</f>
        <v>2023</v>
      </c>
      <c r="I56" s="288">
        <f>I34</f>
        <v>2024</v>
      </c>
      <c r="J56" s="288">
        <f>J34</f>
        <v>2025</v>
      </c>
      <c r="K56" s="327"/>
    </row>
    <row r="57" spans="1:17">
      <c r="A57" s="328"/>
      <c r="B57" s="690" t="s">
        <v>365</v>
      </c>
      <c r="C57" s="691"/>
      <c r="D57" s="691"/>
      <c r="E57" s="692"/>
      <c r="F57" s="329">
        <f>+'Analisis Financiero'!K106</f>
        <v>2841115034.0445104</v>
      </c>
      <c r="G57" s="329">
        <f>+'Analisis Financiero'!L106</f>
        <v>3011206908.9026818</v>
      </c>
      <c r="H57" s="329">
        <f>+'Analisis Financiero'!M106</f>
        <v>3214772023.9617782</v>
      </c>
      <c r="I57" s="329">
        <f>+'Analisis Financiero'!N106</f>
        <v>3450286222.4372196</v>
      </c>
      <c r="J57" s="329">
        <f>+'Analisis Financiero'!O106</f>
        <v>3685285217.0474181</v>
      </c>
      <c r="K57" s="327"/>
    </row>
    <row r="58" spans="1:17">
      <c r="A58" s="330"/>
      <c r="B58" s="690" t="s">
        <v>366</v>
      </c>
      <c r="C58" s="691"/>
      <c r="D58" s="691"/>
      <c r="E58" s="692"/>
      <c r="F58" s="331">
        <f>+'Analisis Financiero'!K105</f>
        <v>2035202106.096499</v>
      </c>
      <c r="G58" s="331">
        <f>+'Analisis Financiero'!L105</f>
        <v>2157045585.7842841</v>
      </c>
      <c r="H58" s="331">
        <f>+'Analisis Financiero'!M105</f>
        <v>2302867259.9972663</v>
      </c>
      <c r="I58" s="331">
        <f>+'Analisis Financiero'!N105</f>
        <v>2471575315.4646664</v>
      </c>
      <c r="J58" s="331">
        <f>+'Analisis Financiero'!O105</f>
        <v>2639914310.2009645</v>
      </c>
      <c r="K58" s="332"/>
    </row>
    <row r="59" spans="1:17" ht="15.75" thickBot="1">
      <c r="A59" s="330"/>
      <c r="B59" s="690" t="s">
        <v>367</v>
      </c>
      <c r="C59" s="691"/>
      <c r="D59" s="691"/>
      <c r="E59" s="692"/>
      <c r="F59" s="333">
        <f>+'Analisis Financiero'!K102</f>
        <v>7555702916.5856085</v>
      </c>
      <c r="G59" s="333">
        <f>+'Analisis Financiero'!L102</f>
        <v>8008047738.7957554</v>
      </c>
      <c r="H59" s="333">
        <f>+'Analisis Financiero'!M102</f>
        <v>8549411786.0576963</v>
      </c>
      <c r="I59" s="333">
        <f>+'Analisis Financiero'!N102</f>
        <v>9175741693.5042839</v>
      </c>
      <c r="J59" s="333">
        <f>+'Analisis Financiero'!O102</f>
        <v>9800701460.2488594</v>
      </c>
      <c r="K59" s="332"/>
    </row>
    <row r="60" spans="1:17">
      <c r="A60" s="330"/>
      <c r="B60" s="713" t="s">
        <v>126</v>
      </c>
      <c r="C60" s="714"/>
      <c r="D60" s="714"/>
      <c r="E60" s="715"/>
      <c r="F60" s="334">
        <f>+F57+F58+F59</f>
        <v>12432020056.726618</v>
      </c>
      <c r="G60" s="334">
        <f t="shared" ref="G60:J60" si="7">+G57+G58+G59</f>
        <v>13176300233.482721</v>
      </c>
      <c r="H60" s="334">
        <f t="shared" si="7"/>
        <v>14067051070.016741</v>
      </c>
      <c r="I60" s="334">
        <f t="shared" si="7"/>
        <v>15097603231.40617</v>
      </c>
      <c r="J60" s="334">
        <f t="shared" si="7"/>
        <v>16125900987.497242</v>
      </c>
      <c r="K60" s="335"/>
    </row>
    <row r="61" spans="1:17">
      <c r="A61" s="330"/>
      <c r="B61" s="336"/>
      <c r="C61" s="337"/>
      <c r="D61" s="337"/>
      <c r="E61" s="337"/>
      <c r="F61" s="337"/>
      <c r="G61" s="337"/>
      <c r="H61" s="337"/>
      <c r="I61" s="337"/>
      <c r="J61" s="337"/>
      <c r="K61" s="337"/>
    </row>
    <row r="62" spans="1:17" ht="23.25" customHeight="1" thickBot="1">
      <c r="A62" s="330"/>
      <c r="B62" s="716" t="s">
        <v>368</v>
      </c>
      <c r="C62" s="717"/>
      <c r="D62" s="717"/>
      <c r="E62" s="718"/>
      <c r="F62" s="333">
        <f>+F60*('Analisis Financiero'!K105/'Analisis Financiero'!K104)</f>
        <v>5188684959.4348326</v>
      </c>
      <c r="G62" s="333">
        <f>+G60*('Analisis Financiero'!L105/'Analisis Financiero'!L104)</f>
        <v>5499321150.5862799</v>
      </c>
      <c r="H62" s="333">
        <f>+H60*('Analisis Financiero'!M105/'Analisis Financiero'!M104)</f>
        <v>5871089008.668788</v>
      </c>
      <c r="I62" s="333">
        <f>+I60*('Analisis Financiero'!N105/'Analisis Financiero'!N104)</f>
        <v>6301204989.4438629</v>
      </c>
      <c r="J62" s="333">
        <f>+J60*('Analisis Financiero'!O105/'Analisis Financiero'!O104)</f>
        <v>6730380061.2748833</v>
      </c>
      <c r="K62" s="332"/>
    </row>
    <row r="63" spans="1:17">
      <c r="A63" s="330"/>
      <c r="B63" s="699" t="s">
        <v>369</v>
      </c>
      <c r="C63" s="700"/>
      <c r="D63" s="700"/>
      <c r="E63" s="701"/>
      <c r="F63" s="338">
        <f>+F60-F62</f>
        <v>7243335097.2917852</v>
      </c>
      <c r="G63" s="338">
        <f t="shared" ref="G63:J63" si="8">+G60-G62</f>
        <v>7676979082.8964415</v>
      </c>
      <c r="H63" s="338">
        <f t="shared" si="8"/>
        <v>8195962061.3479528</v>
      </c>
      <c r="I63" s="338">
        <f t="shared" si="8"/>
        <v>8796398241.962307</v>
      </c>
      <c r="J63" s="338">
        <f t="shared" si="8"/>
        <v>9395520926.2223587</v>
      </c>
      <c r="K63" s="335"/>
    </row>
    <row r="64" spans="1:17">
      <c r="A64" s="330"/>
      <c r="B64" s="336"/>
      <c r="C64" s="337"/>
      <c r="D64" s="337"/>
      <c r="E64" s="337"/>
      <c r="F64" s="337"/>
      <c r="G64" s="337"/>
      <c r="H64" s="337"/>
      <c r="I64" s="337"/>
      <c r="J64" s="337"/>
      <c r="K64" s="337"/>
    </row>
    <row r="65" spans="1:11">
      <c r="A65" s="330"/>
      <c r="B65" s="719" t="s">
        <v>370</v>
      </c>
      <c r="C65" s="703"/>
      <c r="D65" s="703"/>
      <c r="E65" s="704"/>
      <c r="F65" s="331">
        <f>+'Analisis Financiero'!K111</f>
        <v>482532421.9885</v>
      </c>
      <c r="G65" s="331">
        <f>+'Analisis Financiero'!L111</f>
        <v>454190970.86219996</v>
      </c>
      <c r="H65" s="331">
        <f>+'Analisis Financiero'!M111</f>
        <v>410539458.14414001</v>
      </c>
      <c r="I65" s="331">
        <f>+'Analisis Financiero'!N111</f>
        <v>383731353.79896796</v>
      </c>
      <c r="J65" s="331">
        <f>+'Analisis Financiero'!O111</f>
        <v>360517372.5587616</v>
      </c>
      <c r="K65" s="332"/>
    </row>
    <row r="66" spans="1:11">
      <c r="A66" s="330"/>
      <c r="B66" s="690" t="s">
        <v>371</v>
      </c>
      <c r="C66" s="691"/>
      <c r="D66" s="691"/>
      <c r="E66" s="692"/>
      <c r="F66" s="331">
        <f>+'Analisis Financiero'!K112</f>
        <v>187586932.09600002</v>
      </c>
      <c r="G66" s="331">
        <f>+'Analisis Financiero'!L112</f>
        <v>151653711.9032</v>
      </c>
      <c r="H66" s="331">
        <f>+'Analisis Financiero'!M112</f>
        <v>79943648.145840004</v>
      </c>
      <c r="I66" s="331">
        <f>+'Analisis Financiero'!N112</f>
        <v>90534553.561008006</v>
      </c>
      <c r="J66" s="331">
        <f>+'Analisis Financiero'!O112</f>
        <v>108375352.2732096</v>
      </c>
      <c r="K66" s="332"/>
    </row>
    <row r="67" spans="1:11">
      <c r="A67" s="330"/>
      <c r="B67" s="690" t="s">
        <v>372</v>
      </c>
      <c r="C67" s="691"/>
      <c r="D67" s="691"/>
      <c r="E67" s="692"/>
      <c r="F67" s="331"/>
      <c r="G67" s="339"/>
      <c r="H67" s="339"/>
      <c r="I67" s="339"/>
      <c r="J67" s="339"/>
      <c r="K67" s="332"/>
    </row>
    <row r="68" spans="1:11">
      <c r="A68" s="340"/>
      <c r="B68" s="699" t="s">
        <v>373</v>
      </c>
      <c r="C68" s="700"/>
      <c r="D68" s="700"/>
      <c r="E68" s="701"/>
      <c r="F68" s="338">
        <f>+F63+F65+F66+F67</f>
        <v>7913454451.3762846</v>
      </c>
      <c r="G68" s="338">
        <f t="shared" ref="G68:J68" si="9">+G63+G65+G66+G67</f>
        <v>8282823765.6618414</v>
      </c>
      <c r="H68" s="338">
        <f t="shared" si="9"/>
        <v>8686445167.6379318</v>
      </c>
      <c r="I68" s="338">
        <f t="shared" si="9"/>
        <v>9270664149.3222828</v>
      </c>
      <c r="J68" s="338">
        <f t="shared" si="9"/>
        <v>9864413651.0543308</v>
      </c>
      <c r="K68" s="335"/>
    </row>
    <row r="69" spans="1:11">
      <c r="A69" s="330"/>
      <c r="B69" s="336"/>
      <c r="C69" s="337"/>
      <c r="D69" s="337"/>
      <c r="E69" s="337"/>
      <c r="F69" s="337"/>
      <c r="G69" s="337"/>
      <c r="H69" s="337"/>
      <c r="I69" s="337"/>
      <c r="J69" s="337"/>
      <c r="K69" s="337"/>
    </row>
    <row r="70" spans="1:11">
      <c r="A70" s="341"/>
      <c r="B70" s="702" t="s">
        <v>374</v>
      </c>
      <c r="C70" s="703"/>
      <c r="D70" s="703"/>
      <c r="E70" s="704"/>
      <c r="F70" s="331">
        <f>+(F76-E76)</f>
        <v>-701471642.40049744</v>
      </c>
      <c r="G70" s="331">
        <f t="shared" ref="G70:J70" si="10">+(G76-F76)</f>
        <v>-810022483.49777985</v>
      </c>
      <c r="H70" s="331">
        <f t="shared" si="10"/>
        <v>-969430904.27550507</v>
      </c>
      <c r="I70" s="331">
        <f t="shared" si="10"/>
        <v>-1121580887.4299927</v>
      </c>
      <c r="J70" s="331">
        <f t="shared" si="10"/>
        <v>-1119127350.3943176</v>
      </c>
      <c r="K70" s="332"/>
    </row>
    <row r="71" spans="1:11" ht="15.75" thickBot="1">
      <c r="A71" s="341"/>
      <c r="B71" s="705" t="s">
        <v>375</v>
      </c>
      <c r="C71" s="691"/>
      <c r="D71" s="691"/>
      <c r="E71" s="692"/>
      <c r="F71" s="331">
        <f>+'Analisis Financiero'!K54-'Analisis Financiero'!J54</f>
        <v>427215608.9336729</v>
      </c>
      <c r="G71" s="331">
        <f>+'Analisis Financiero'!L54-'Analisis Financiero'!K54</f>
        <v>493326069.96520042</v>
      </c>
      <c r="H71" s="331">
        <f>+'Analisis Financiero'!M54-'Analisis Financiero'!L54</f>
        <v>590410202.00318527</v>
      </c>
      <c r="I71" s="331">
        <f>+'Analisis Financiero'!N54-'Analisis Financiero'!M54</f>
        <v>683073745.00850677</v>
      </c>
      <c r="J71" s="331">
        <f>+'Analisis Financiero'!O54-'Analisis Financiero'!N54</f>
        <v>681579473.17287445</v>
      </c>
      <c r="K71" s="332"/>
    </row>
    <row r="72" spans="1:11" ht="15.75" thickBot="1">
      <c r="A72" s="342"/>
      <c r="B72" s="706" t="s">
        <v>376</v>
      </c>
      <c r="C72" s="700"/>
      <c r="D72" s="700"/>
      <c r="E72" s="701"/>
      <c r="F72" s="343">
        <f>SUM(F70:F71)</f>
        <v>-274256033.46682453</v>
      </c>
      <c r="G72" s="343">
        <f t="shared" ref="G72:J72" si="11">SUM(G70:G71)</f>
        <v>-316696413.53257942</v>
      </c>
      <c r="H72" s="343">
        <f t="shared" si="11"/>
        <v>-379020702.27231979</v>
      </c>
      <c r="I72" s="343">
        <f t="shared" si="11"/>
        <v>-438507142.4214859</v>
      </c>
      <c r="J72" s="343">
        <f t="shared" si="11"/>
        <v>-437547877.22144318</v>
      </c>
      <c r="K72" s="335"/>
    </row>
    <row r="73" spans="1:11" ht="13.5" customHeight="1">
      <c r="A73" s="344"/>
      <c r="B73" s="345"/>
      <c r="C73" s="346"/>
      <c r="D73" s="346"/>
      <c r="E73" s="346"/>
      <c r="F73" s="346"/>
      <c r="G73" s="346"/>
      <c r="H73" s="346"/>
      <c r="I73" s="346"/>
      <c r="J73" s="346"/>
      <c r="K73" s="346"/>
    </row>
    <row r="74" spans="1:11" ht="18.75" thickBot="1">
      <c r="A74" s="347"/>
      <c r="B74" s="707" t="s">
        <v>377</v>
      </c>
      <c r="C74" s="708"/>
      <c r="D74" s="708"/>
      <c r="E74" s="709"/>
      <c r="F74" s="348">
        <f>+F68-F72</f>
        <v>8187710484.8431091</v>
      </c>
      <c r="G74" s="348">
        <f t="shared" ref="G74:J74" si="12">+G68-G72</f>
        <v>8599520179.1944199</v>
      </c>
      <c r="H74" s="348">
        <f t="shared" si="12"/>
        <v>9065465869.9102516</v>
      </c>
      <c r="I74" s="348">
        <f t="shared" si="12"/>
        <v>9709171291.7437687</v>
      </c>
      <c r="J74" s="348">
        <f t="shared" si="12"/>
        <v>10301961528.275774</v>
      </c>
      <c r="K74" s="349"/>
    </row>
    <row r="75" spans="1:11">
      <c r="A75" s="1" t="s">
        <v>378</v>
      </c>
    </row>
    <row r="76" spans="1:11" ht="15.75" thickBot="1">
      <c r="A76" s="710" t="s">
        <v>379</v>
      </c>
      <c r="B76" s="711"/>
      <c r="C76" s="711"/>
      <c r="D76" s="712"/>
      <c r="E76" s="350">
        <f>+'Analisis Financiero'!J47+'Analisis Financiero'!J48-'Analisis Financiero'!J63</f>
        <v>-12828669392.840012</v>
      </c>
      <c r="F76" s="350">
        <f>+'Analisis Financiero'!K47+'Analisis Financiero'!K48-'Analisis Financiero'!K63</f>
        <v>-13530141035.240509</v>
      </c>
      <c r="G76" s="350">
        <f>+'Analisis Financiero'!L47+'Analisis Financiero'!L48-'Analisis Financiero'!L63</f>
        <v>-14340163518.738289</v>
      </c>
      <c r="H76" s="350">
        <f>+'Analisis Financiero'!M47+'Analisis Financiero'!M48-'Analisis Financiero'!M63</f>
        <v>-15309594423.013794</v>
      </c>
      <c r="I76" s="350">
        <f>+'Analisis Financiero'!N47+'Analisis Financiero'!N48-'Analisis Financiero'!N63</f>
        <v>-16431175310.443787</v>
      </c>
      <c r="J76" s="350">
        <f>+'Analisis Financiero'!O47+'Analisis Financiero'!O48-'Analisis Financiero'!O63</f>
        <v>-17550302660.838104</v>
      </c>
    </row>
    <row r="77" spans="1:11">
      <c r="A77" s="548" t="s">
        <v>380</v>
      </c>
      <c r="B77" s="549"/>
      <c r="C77" s="549"/>
      <c r="D77" s="549"/>
      <c r="E77" s="549"/>
      <c r="F77" s="549"/>
      <c r="G77" s="549"/>
      <c r="H77" s="549"/>
      <c r="I77" s="549"/>
      <c r="J77" s="550"/>
    </row>
    <row r="78" spans="1:11" ht="15.75" thickBot="1">
      <c r="A78" s="551"/>
      <c r="B78" s="552"/>
      <c r="C78" s="552"/>
      <c r="D78" s="552"/>
      <c r="E78" s="552"/>
      <c r="F78" s="552"/>
      <c r="G78" s="552"/>
      <c r="H78" s="552"/>
      <c r="I78" s="552"/>
      <c r="J78" s="553"/>
    </row>
    <row r="81" spans="5:12">
      <c r="J81" s="288">
        <f>J56</f>
        <v>2025</v>
      </c>
    </row>
    <row r="82" spans="5:12">
      <c r="E82" s="351" t="s">
        <v>381</v>
      </c>
      <c r="F82" s="736" t="s">
        <v>382</v>
      </c>
      <c r="G82" s="737"/>
      <c r="H82" s="737"/>
      <c r="I82" s="737"/>
      <c r="J82" s="352">
        <f>+J74</f>
        <v>10301961528.275774</v>
      </c>
    </row>
    <row r="83" spans="5:12">
      <c r="E83" s="351" t="s">
        <v>383</v>
      </c>
      <c r="F83" s="736" t="s">
        <v>384</v>
      </c>
      <c r="G83" s="737"/>
      <c r="H83" s="737"/>
      <c r="I83" s="737"/>
      <c r="J83" s="353">
        <f>+J51</f>
        <v>0.15435224249112248</v>
      </c>
    </row>
    <row r="84" spans="5:12">
      <c r="E84" s="354" t="s">
        <v>385</v>
      </c>
      <c r="F84" s="355" t="s">
        <v>386</v>
      </c>
      <c r="G84" s="356"/>
      <c r="H84" s="357">
        <f>+CHOOSE('Analisis Financiero'!$F$35,AVERAGE('Analisis Financiero'!K31:O31),AVERAGE('Analisis Financiero'!S31:W31),AVERAGE('Analisis Financiero'!Y31:AC31))</f>
        <v>3.2399999999999998E-2</v>
      </c>
      <c r="I84" s="357">
        <f>+CHOOSE('Analisis Financiero'!$F$35,AVERAGE('Analisis Financiero'!K30:O30),AVERAGE('Analisis Financiero'!S30:W30),AVERAGE('Analisis Financiero'!Y30:AC30))</f>
        <v>3.1300000000000001E-2</v>
      </c>
      <c r="J84" s="358">
        <f>((1+H84)*(1+I84))-1</f>
        <v>6.4714120000000097E-2</v>
      </c>
    </row>
    <row r="85" spans="5:12" ht="15.75" thickBot="1"/>
    <row r="86" spans="5:12" ht="20.25" thickBot="1">
      <c r="E86" s="359" t="s">
        <v>387</v>
      </c>
      <c r="F86" s="720" t="s">
        <v>388</v>
      </c>
      <c r="G86" s="721"/>
      <c r="H86" s="721"/>
      <c r="I86" s="722"/>
      <c r="J86" s="360"/>
    </row>
    <row r="87" spans="5:12">
      <c r="F87" s="738" t="s">
        <v>389</v>
      </c>
      <c r="G87" s="738"/>
      <c r="H87" s="738"/>
      <c r="I87" s="738"/>
      <c r="J87" s="361">
        <f>+J82</f>
        <v>10301961528.275774</v>
      </c>
      <c r="K87" s="739" t="s">
        <v>390</v>
      </c>
      <c r="L87" s="740"/>
    </row>
    <row r="88" spans="5:12">
      <c r="F88" s="745" t="s">
        <v>391</v>
      </c>
      <c r="G88" s="746"/>
      <c r="H88" s="746"/>
      <c r="I88" s="747"/>
      <c r="J88" s="362">
        <f>+J83</f>
        <v>0.15435224249112248</v>
      </c>
      <c r="K88" s="741"/>
      <c r="L88" s="742"/>
    </row>
    <row r="89" spans="5:12" ht="15.75" thickBot="1">
      <c r="F89" s="748" t="s">
        <v>392</v>
      </c>
      <c r="G89" s="748"/>
      <c r="H89" s="748"/>
      <c r="I89" s="748"/>
      <c r="J89" s="363">
        <f>+J87/J88</f>
        <v>66743193114.72451</v>
      </c>
      <c r="K89" s="743"/>
      <c r="L89" s="744"/>
    </row>
    <row r="90" spans="5:12" ht="15.75" thickBot="1"/>
    <row r="91" spans="5:12" ht="20.25" thickBot="1">
      <c r="E91" s="364" t="s">
        <v>393</v>
      </c>
      <c r="F91" s="720" t="s">
        <v>394</v>
      </c>
      <c r="G91" s="721"/>
      <c r="H91" s="721"/>
      <c r="I91" s="722"/>
      <c r="J91" s="360"/>
    </row>
    <row r="92" spans="5:12" ht="15" customHeight="1">
      <c r="E92" s="360"/>
      <c r="F92" s="723" t="s">
        <v>389</v>
      </c>
      <c r="G92" s="724"/>
      <c r="H92" s="724"/>
      <c r="I92" s="725"/>
      <c r="J92" s="365">
        <f>+J87</f>
        <v>10301961528.275774</v>
      </c>
      <c r="K92" s="726" t="s">
        <v>395</v>
      </c>
      <c r="L92" s="727"/>
    </row>
    <row r="93" spans="5:12" ht="15" customHeight="1">
      <c r="E93" s="360"/>
      <c r="F93" s="732" t="s">
        <v>391</v>
      </c>
      <c r="G93" s="733"/>
      <c r="H93" s="733"/>
      <c r="I93" s="734"/>
      <c r="J93" s="366">
        <f>+J88</f>
        <v>0.15435224249112248</v>
      </c>
      <c r="K93" s="728"/>
      <c r="L93" s="729"/>
    </row>
    <row r="94" spans="5:12" ht="15.75" customHeight="1">
      <c r="E94" s="360"/>
      <c r="F94" s="732" t="s">
        <v>396</v>
      </c>
      <c r="G94" s="733"/>
      <c r="H94" s="733"/>
      <c r="I94" s="734"/>
      <c r="J94" s="366">
        <f>+J84</f>
        <v>6.4714120000000097E-2</v>
      </c>
      <c r="K94" s="728"/>
      <c r="L94" s="729"/>
    </row>
    <row r="95" spans="5:12" ht="15.75" thickBot="1">
      <c r="F95" s="735" t="s">
        <v>397</v>
      </c>
      <c r="G95" s="735"/>
      <c r="H95" s="735"/>
      <c r="I95" s="735"/>
      <c r="J95" s="367">
        <f>+J92*(1+J94)/(J93-J94)</f>
        <v>122365837190.95985</v>
      </c>
      <c r="K95" s="730"/>
      <c r="L95" s="731"/>
    </row>
    <row r="97" spans="1:11" ht="15.75" thickBot="1"/>
    <row r="98" spans="1:11">
      <c r="A98" s="749" t="s">
        <v>398</v>
      </c>
      <c r="B98" s="749"/>
      <c r="C98" s="749"/>
      <c r="D98" s="749"/>
      <c r="E98" s="749"/>
      <c r="F98" s="288">
        <f>F56</f>
        <v>2021</v>
      </c>
      <c r="G98" s="288">
        <f>G56</f>
        <v>2022</v>
      </c>
      <c r="H98" s="288">
        <f>H56</f>
        <v>2023</v>
      </c>
      <c r="I98" s="288">
        <f>I56</f>
        <v>2024</v>
      </c>
      <c r="J98" s="368">
        <f>J56</f>
        <v>2025</v>
      </c>
      <c r="K98" s="750" t="s">
        <v>399</v>
      </c>
    </row>
    <row r="99" spans="1:11">
      <c r="A99" s="754" t="s">
        <v>400</v>
      </c>
      <c r="B99" s="754"/>
      <c r="C99" s="754"/>
      <c r="D99" s="754"/>
      <c r="E99" s="754"/>
      <c r="F99" s="189">
        <f>+F51</f>
        <v>0.16546142164162325</v>
      </c>
      <c r="G99" s="189">
        <f t="shared" ref="G99:J99" si="13">+G51</f>
        <v>0.16274698307086713</v>
      </c>
      <c r="H99" s="189">
        <f t="shared" si="13"/>
        <v>0.1607168092243991</v>
      </c>
      <c r="I99" s="189">
        <f t="shared" si="13"/>
        <v>0.15691546421159649</v>
      </c>
      <c r="J99" s="189">
        <f t="shared" si="13"/>
        <v>0.15435224249112248</v>
      </c>
      <c r="K99" s="751"/>
    </row>
    <row r="100" spans="1:11">
      <c r="A100" s="755" t="s">
        <v>401</v>
      </c>
      <c r="B100" s="755"/>
      <c r="C100" s="755"/>
      <c r="D100" s="755"/>
      <c r="E100" s="755"/>
      <c r="F100" s="369">
        <f>+F99</f>
        <v>0.16546142164162325</v>
      </c>
      <c r="G100" s="369">
        <f>+(1+F100)*(1+G99)-1</f>
        <v>0.3551367518992814</v>
      </c>
      <c r="H100" s="369">
        <f>+(1+G100)*(1+H99)-1</f>
        <v>0.57293000672725003</v>
      </c>
      <c r="I100" s="369">
        <f>+(1+H100)*(1+I99)-1</f>
        <v>0.81974704890520589</v>
      </c>
      <c r="J100" s="369">
        <f>+(1+I100)*(1+J99)-1</f>
        <v>1.100629086670327</v>
      </c>
      <c r="K100" s="751"/>
    </row>
    <row r="101" spans="1:11">
      <c r="A101" s="370"/>
      <c r="B101" s="371"/>
      <c r="C101" s="371"/>
      <c r="D101" s="371"/>
      <c r="E101" s="371"/>
      <c r="F101" s="371"/>
      <c r="G101" s="371"/>
      <c r="H101" s="371"/>
      <c r="I101" s="371"/>
      <c r="J101" s="372"/>
      <c r="K101" s="752"/>
    </row>
    <row r="102" spans="1:11">
      <c r="A102" s="756" t="s">
        <v>402</v>
      </c>
      <c r="B102" s="756"/>
      <c r="C102" s="756"/>
      <c r="D102" s="756"/>
      <c r="E102" s="756"/>
      <c r="F102" s="373">
        <f>+F74</f>
        <v>8187710484.8431091</v>
      </c>
      <c r="G102" s="373">
        <f t="shared" ref="G102:J102" si="14">+G74</f>
        <v>8599520179.1944199</v>
      </c>
      <c r="H102" s="373">
        <f t="shared" si="14"/>
        <v>9065465869.9102516</v>
      </c>
      <c r="I102" s="373">
        <f t="shared" si="14"/>
        <v>9709171291.7437687</v>
      </c>
      <c r="J102" s="373">
        <f t="shared" si="14"/>
        <v>10301961528.275774</v>
      </c>
      <c r="K102" s="751"/>
    </row>
    <row r="103" spans="1:11">
      <c r="A103" s="755" t="s">
        <v>403</v>
      </c>
      <c r="B103" s="755"/>
      <c r="C103" s="755"/>
      <c r="D103" s="755"/>
      <c r="E103" s="755"/>
      <c r="F103" s="374"/>
      <c r="G103" s="374"/>
      <c r="H103" s="374"/>
      <c r="I103" s="374"/>
      <c r="J103" s="375">
        <f>+J95</f>
        <v>122365837190.95985</v>
      </c>
      <c r="K103" s="751"/>
    </row>
    <row r="104" spans="1:11">
      <c r="A104" s="370"/>
      <c r="B104" s="371"/>
      <c r="C104" s="371"/>
      <c r="D104" s="371"/>
      <c r="E104" s="371"/>
      <c r="F104" s="371"/>
      <c r="G104" s="371"/>
      <c r="H104" s="371"/>
      <c r="I104" s="371"/>
      <c r="J104" s="372"/>
      <c r="K104" s="752"/>
    </row>
    <row r="105" spans="1:11">
      <c r="A105" s="756" t="s">
        <v>404</v>
      </c>
      <c r="B105" s="756"/>
      <c r="C105" s="756"/>
      <c r="D105" s="756"/>
      <c r="E105" s="756"/>
      <c r="F105" s="376">
        <f>+F102/(1+F100)</f>
        <v>7025295160.1866159</v>
      </c>
      <c r="G105" s="376">
        <f t="shared" ref="G105:J105" si="15">+G102/(1+G100)</f>
        <v>6345868907.4308033</v>
      </c>
      <c r="H105" s="376">
        <f t="shared" si="15"/>
        <v>5763426109.9592752</v>
      </c>
      <c r="I105" s="376">
        <f t="shared" si="15"/>
        <v>5335451043.9156857</v>
      </c>
      <c r="J105" s="376">
        <f t="shared" si="15"/>
        <v>4904226830.7372847</v>
      </c>
      <c r="K105" s="751"/>
    </row>
    <row r="106" spans="1:11">
      <c r="A106" s="755" t="s">
        <v>403</v>
      </c>
      <c r="B106" s="755"/>
      <c r="C106" s="755"/>
      <c r="D106" s="755"/>
      <c r="E106" s="757"/>
      <c r="F106" s="374"/>
      <c r="G106" s="374"/>
      <c r="H106" s="374"/>
      <c r="I106" s="374"/>
      <c r="J106" s="377">
        <f>+J103/(1+J100)</f>
        <v>58251996017.497765</v>
      </c>
      <c r="K106" s="751"/>
    </row>
    <row r="107" spans="1:11">
      <c r="A107" s="378"/>
      <c r="B107" s="379"/>
      <c r="C107" s="379"/>
      <c r="D107" s="379"/>
      <c r="E107" s="379"/>
      <c r="F107" s="374"/>
      <c r="G107" s="374"/>
      <c r="H107" s="374"/>
      <c r="I107" s="374"/>
      <c r="J107" s="380"/>
      <c r="K107" s="752"/>
    </row>
    <row r="108" spans="1:11">
      <c r="A108" s="756" t="s">
        <v>405</v>
      </c>
      <c r="B108" s="756"/>
      <c r="C108" s="756"/>
      <c r="D108" s="756"/>
      <c r="E108" s="756"/>
      <c r="F108" s="381">
        <f>SUM(F105:J105)</f>
        <v>29374268052.229664</v>
      </c>
      <c r="K108" s="751"/>
    </row>
    <row r="109" spans="1:11">
      <c r="A109" s="754" t="s">
        <v>406</v>
      </c>
      <c r="B109" s="754"/>
      <c r="C109" s="754"/>
      <c r="D109" s="754"/>
      <c r="E109" s="754"/>
      <c r="F109" s="382">
        <f>+J106</f>
        <v>58251996017.497765</v>
      </c>
      <c r="K109" s="751"/>
    </row>
    <row r="110" spans="1:11">
      <c r="A110" s="759" t="s">
        <v>407</v>
      </c>
      <c r="B110" s="759"/>
      <c r="C110" s="759"/>
      <c r="D110" s="759"/>
      <c r="E110" s="759"/>
      <c r="F110" s="383">
        <f>+F109+F108</f>
        <v>87626264069.727432</v>
      </c>
      <c r="K110" s="751"/>
    </row>
    <row r="111" spans="1:11">
      <c r="K111" s="751"/>
    </row>
    <row r="112" spans="1:11">
      <c r="A112" s="754" t="s">
        <v>408</v>
      </c>
      <c r="B112" s="754"/>
      <c r="C112" s="754"/>
      <c r="D112" s="754"/>
      <c r="E112" s="754"/>
      <c r="F112" s="384">
        <f>+F110</f>
        <v>87626264069.727432</v>
      </c>
      <c r="K112" s="751"/>
    </row>
    <row r="113" spans="1:11">
      <c r="A113" s="760" t="s">
        <v>409</v>
      </c>
      <c r="B113" s="760"/>
      <c r="C113" s="760"/>
      <c r="D113" s="760"/>
      <c r="E113" s="760"/>
      <c r="F113" s="385">
        <f>+'Analisis Financiero'!J67-'Analisis Financiero'!J62</f>
        <v>59500310046.200012</v>
      </c>
      <c r="K113" s="751"/>
    </row>
    <row r="114" spans="1:11">
      <c r="A114" s="760" t="s">
        <v>410</v>
      </c>
      <c r="B114" s="760"/>
      <c r="C114" s="760"/>
      <c r="D114" s="760"/>
      <c r="E114" s="760"/>
      <c r="F114" s="385">
        <f>+'Analisis Financiero'!J45+'Analisis Financiero'!J46+'Analisis Financiero'!J48+'Analisis Financiero'!J47</f>
        <v>64625875277.689995</v>
      </c>
      <c r="K114" s="751"/>
    </row>
    <row r="115" spans="1:11">
      <c r="A115" s="760" t="s">
        <v>411</v>
      </c>
      <c r="B115" s="760"/>
      <c r="C115" s="760"/>
      <c r="D115" s="760"/>
      <c r="E115" s="760"/>
      <c r="F115" s="385">
        <f>+'Analisis Financiero'!J62+'Analisis Financiero'!J69</f>
        <v>9976127172.5499992</v>
      </c>
      <c r="K115" s="751"/>
    </row>
    <row r="116" spans="1:11">
      <c r="A116" s="761" t="s">
        <v>412</v>
      </c>
      <c r="B116" s="761"/>
      <c r="C116" s="761"/>
      <c r="D116" s="761"/>
      <c r="E116" s="761"/>
      <c r="F116" s="386">
        <f>+F112-F113+F114-F115</f>
        <v>82775702128.667404</v>
      </c>
      <c r="G116" s="387"/>
      <c r="K116" s="751"/>
    </row>
    <row r="117" spans="1:11">
      <c r="F117" s="388"/>
      <c r="K117" s="751"/>
    </row>
    <row r="118" spans="1:11">
      <c r="A118" s="754" t="s">
        <v>413</v>
      </c>
      <c r="B118" s="754"/>
      <c r="C118" s="754"/>
      <c r="D118" s="754"/>
      <c r="E118" s="754"/>
      <c r="F118" s="385">
        <f>+'Analisis Financiero'!J84</f>
        <v>10580415189.619999</v>
      </c>
      <c r="K118" s="751"/>
    </row>
    <row r="119" spans="1:11">
      <c r="A119" s="310"/>
      <c r="B119" s="310"/>
      <c r="C119" s="310"/>
      <c r="D119" s="310"/>
      <c r="E119" s="310"/>
      <c r="F119" s="310"/>
      <c r="K119" s="751"/>
    </row>
    <row r="120" spans="1:11">
      <c r="A120" s="754" t="s">
        <v>414</v>
      </c>
      <c r="B120" s="754"/>
      <c r="C120" s="754"/>
      <c r="D120" s="754"/>
      <c r="E120" s="754"/>
      <c r="F120" s="389">
        <v>200000</v>
      </c>
      <c r="G120" s="390" t="s">
        <v>415</v>
      </c>
      <c r="K120" s="751"/>
    </row>
    <row r="121" spans="1:11">
      <c r="A121" s="754" t="s">
        <v>416</v>
      </c>
      <c r="B121" s="754"/>
      <c r="C121" s="754"/>
      <c r="D121" s="754"/>
      <c r="E121" s="754"/>
      <c r="F121" s="391">
        <f>+F118/F120</f>
        <v>52902.075948099991</v>
      </c>
      <c r="K121" s="751"/>
    </row>
    <row r="122" spans="1:11">
      <c r="A122" s="754" t="s">
        <v>417</v>
      </c>
      <c r="B122" s="754"/>
      <c r="C122" s="754"/>
      <c r="D122" s="754"/>
      <c r="E122" s="754"/>
      <c r="F122" s="391">
        <f>+F116/F120</f>
        <v>413878.51064333704</v>
      </c>
      <c r="K122" s="751"/>
    </row>
    <row r="123" spans="1:11" ht="16.5" thickBot="1">
      <c r="A123" s="758" t="s">
        <v>418</v>
      </c>
      <c r="B123" s="758"/>
      <c r="C123" s="758"/>
      <c r="D123" s="758"/>
      <c r="E123" s="758"/>
      <c r="F123" s="392">
        <f>+F122/F121</f>
        <v>7.8234833553483965</v>
      </c>
      <c r="K123" s="753"/>
    </row>
    <row r="126" spans="1:11" ht="15.75" thickBot="1"/>
    <row r="127" spans="1:11">
      <c r="A127" s="548" t="s">
        <v>419</v>
      </c>
      <c r="B127" s="549"/>
      <c r="C127" s="549"/>
      <c r="D127" s="549"/>
      <c r="E127" s="549"/>
      <c r="F127" s="549"/>
      <c r="G127" s="549"/>
      <c r="H127" s="549"/>
      <c r="I127" s="549"/>
      <c r="J127" s="550"/>
    </row>
    <row r="128" spans="1:11" ht="15.75" thickBot="1">
      <c r="A128" s="551"/>
      <c r="B128" s="552"/>
      <c r="C128" s="552"/>
      <c r="D128" s="552"/>
      <c r="E128" s="552"/>
      <c r="F128" s="552"/>
      <c r="G128" s="552"/>
      <c r="H128" s="552"/>
      <c r="I128" s="552"/>
      <c r="J128" s="553"/>
    </row>
    <row r="129" spans="1:11" ht="15.75" thickBot="1"/>
    <row r="130" spans="1:11" ht="15" customHeight="1">
      <c r="A130" s="749" t="s">
        <v>420</v>
      </c>
      <c r="B130" s="749"/>
      <c r="C130" s="749"/>
      <c r="D130" s="749"/>
      <c r="E130" s="749"/>
      <c r="F130" s="288">
        <f>F98</f>
        <v>2021</v>
      </c>
      <c r="G130" s="288">
        <f>G98</f>
        <v>2022</v>
      </c>
      <c r="H130" s="288">
        <f>H98</f>
        <v>2023</v>
      </c>
      <c r="I130" s="288">
        <f>I98</f>
        <v>2024</v>
      </c>
      <c r="J130" s="368">
        <f>J98</f>
        <v>2025</v>
      </c>
      <c r="K130" s="762" t="s">
        <v>421</v>
      </c>
    </row>
    <row r="131" spans="1:11">
      <c r="A131" s="754" t="s">
        <v>4</v>
      </c>
      <c r="B131" s="754"/>
      <c r="C131" s="754"/>
      <c r="D131" s="754"/>
      <c r="E131" s="754"/>
      <c r="F131" s="287">
        <f>+'Analisis Financiero'!K59</f>
        <v>94963346413.942383</v>
      </c>
      <c r="G131" s="287">
        <f>+'Analisis Financiero'!L59</f>
        <v>100648612037.05228</v>
      </c>
      <c r="H131" s="287">
        <f>+'Analisis Financiero'!M59</f>
        <v>107452709832.28711</v>
      </c>
      <c r="I131" s="287">
        <f>+'Analisis Financiero'!N59</f>
        <v>115324695354.60048</v>
      </c>
      <c r="J131" s="287">
        <f>+'Analisis Financiero'!O59</f>
        <v>123179460355.20232</v>
      </c>
      <c r="K131" s="763"/>
    </row>
    <row r="132" spans="1:11">
      <c r="A132" s="754" t="s">
        <v>422</v>
      </c>
      <c r="B132" s="754"/>
      <c r="C132" s="754"/>
      <c r="D132" s="754"/>
      <c r="E132" s="754"/>
      <c r="F132" s="389">
        <f>+'Analisis Financiero'!K75</f>
        <v>83804394122.682098</v>
      </c>
      <c r="G132" s="389">
        <f>+'Analisis Financiero'!L75</f>
        <v>88821595590.018829</v>
      </c>
      <c r="H132" s="389">
        <f>+'Analisis Financiero'!M75</f>
        <v>94826157505.893097</v>
      </c>
      <c r="I132" s="389">
        <f>+'Analisis Financiero'!N75</f>
        <v>101773121804.77483</v>
      </c>
      <c r="J132" s="389">
        <f>+'Analisis Financiero'!O75</f>
        <v>108704889130.89801</v>
      </c>
      <c r="K132" s="763"/>
    </row>
    <row r="133" spans="1:11">
      <c r="A133" s="754" t="s">
        <v>423</v>
      </c>
      <c r="B133" s="754"/>
      <c r="C133" s="754"/>
      <c r="D133" s="754"/>
      <c r="E133" s="754"/>
      <c r="F133" s="393">
        <f>+F131-F132</f>
        <v>11158952291.260284</v>
      </c>
      <c r="G133" s="393">
        <f t="shared" ref="G133:J133" si="16">+G131-G132</f>
        <v>11827016447.033447</v>
      </c>
      <c r="H133" s="393">
        <f t="shared" si="16"/>
        <v>12626552326.394012</v>
      </c>
      <c r="I133" s="393">
        <f t="shared" si="16"/>
        <v>13551573549.825653</v>
      </c>
      <c r="J133" s="393">
        <f t="shared" si="16"/>
        <v>14474571224.304306</v>
      </c>
      <c r="K133" s="763"/>
    </row>
    <row r="134" spans="1:11">
      <c r="A134" s="754" t="s">
        <v>424</v>
      </c>
      <c r="B134" s="754"/>
      <c r="C134" s="754"/>
      <c r="D134" s="754"/>
      <c r="E134" s="754"/>
      <c r="F134" s="394">
        <f>+F133/$F$120</f>
        <v>55794.761456301421</v>
      </c>
      <c r="G134" s="394">
        <f t="shared" ref="G134:J134" si="17">+G133/$F$120</f>
        <v>59135.08223516724</v>
      </c>
      <c r="H134" s="394">
        <f t="shared" si="17"/>
        <v>63132.761631970061</v>
      </c>
      <c r="I134" s="394">
        <f t="shared" si="17"/>
        <v>67757.867749128272</v>
      </c>
      <c r="J134" s="394">
        <f t="shared" si="17"/>
        <v>72372.85612152153</v>
      </c>
      <c r="K134" s="763"/>
    </row>
    <row r="135" spans="1:11" ht="15.75">
      <c r="A135" s="765" t="s">
        <v>418</v>
      </c>
      <c r="B135" s="766"/>
      <c r="C135" s="766"/>
      <c r="D135" s="766"/>
      <c r="E135" s="767"/>
      <c r="F135" s="392">
        <f>+F134/$F$121</f>
        <v>1.054679999912278</v>
      </c>
      <c r="G135" s="392">
        <f t="shared" ref="G135:J135" si="18">+G134/$F$121</f>
        <v>1.1178215821470256</v>
      </c>
      <c r="H135" s="392">
        <f t="shared" si="18"/>
        <v>1.1933891156541185</v>
      </c>
      <c r="I135" s="392">
        <f t="shared" si="18"/>
        <v>1.2808168022669408</v>
      </c>
      <c r="J135" s="392">
        <f t="shared" si="18"/>
        <v>1.3680532346693446</v>
      </c>
      <c r="K135" s="763"/>
    </row>
    <row r="136" spans="1:11" ht="9" customHeight="1">
      <c r="K136" s="763"/>
    </row>
    <row r="137" spans="1:11" ht="9" customHeight="1">
      <c r="K137" s="763"/>
    </row>
    <row r="138" spans="1:11" ht="7.5" customHeight="1">
      <c r="K138" s="763"/>
    </row>
    <row r="139" spans="1:11" ht="10.5" customHeight="1">
      <c r="K139" s="763"/>
    </row>
    <row r="140" spans="1:11">
      <c r="A140" s="749" t="s">
        <v>425</v>
      </c>
      <c r="B140" s="749"/>
      <c r="C140" s="749"/>
      <c r="D140" s="749"/>
      <c r="E140" s="749"/>
      <c r="F140" s="288">
        <f>F130</f>
        <v>2021</v>
      </c>
      <c r="G140" s="288">
        <f>G130</f>
        <v>2022</v>
      </c>
      <c r="H140" s="288">
        <f>H130</f>
        <v>2023</v>
      </c>
      <c r="I140" s="288">
        <f>I130</f>
        <v>2024</v>
      </c>
      <c r="J140" s="368">
        <f>J130</f>
        <v>2025</v>
      </c>
      <c r="K140" s="763"/>
    </row>
    <row r="141" spans="1:11">
      <c r="A141" s="754" t="s">
        <v>426</v>
      </c>
      <c r="B141" s="754"/>
      <c r="C141" s="754"/>
      <c r="D141" s="754"/>
      <c r="E141" s="754"/>
      <c r="F141" s="287">
        <f>+F131</f>
        <v>94963346413.942383</v>
      </c>
      <c r="G141" s="287">
        <f t="shared" ref="G141:J141" si="19">+G131</f>
        <v>100648612037.05228</v>
      </c>
      <c r="H141" s="287">
        <f t="shared" si="19"/>
        <v>107452709832.28711</v>
      </c>
      <c r="I141" s="287">
        <f t="shared" si="19"/>
        <v>115324695354.60048</v>
      </c>
      <c r="J141" s="287">
        <f t="shared" si="19"/>
        <v>123179460355.20232</v>
      </c>
      <c r="K141" s="763"/>
    </row>
    <row r="142" spans="1:11">
      <c r="A142" s="754" t="s">
        <v>427</v>
      </c>
      <c r="B142" s="754"/>
      <c r="C142" s="754"/>
      <c r="D142" s="754"/>
      <c r="E142" s="754"/>
      <c r="F142" s="389">
        <f>+'Analisis Financiero'!K62+'Analisis Financiero'!K63+'Analisis Financiero'!K69</f>
        <v>70839487685.588867</v>
      </c>
      <c r="G142" s="389">
        <f>+'Analisis Financiero'!L62+'Analisis Financiero'!L63+'Analisis Financiero'!L69</f>
        <v>75080506134.349701</v>
      </c>
      <c r="H142" s="389">
        <f>+'Analisis Financiero'!M62+'Analisis Financiero'!M63+'Analisis Financiero'!M69</f>
        <v>80156136050.297073</v>
      </c>
      <c r="I142" s="389">
        <f>+'Analisis Financiero'!N62+'Analisis Financiero'!N63+'Analisis Financiero'!N69</f>
        <v>86028374577.341843</v>
      </c>
      <c r="J142" s="389">
        <f>+'Analisis Financiero'!O62+'Analisis Financiero'!O63+'Analisis Financiero'!O69</f>
        <v>91887767169.804596</v>
      </c>
      <c r="K142" s="763"/>
    </row>
    <row r="143" spans="1:11">
      <c r="A143" s="754" t="s">
        <v>428</v>
      </c>
      <c r="B143" s="754"/>
      <c r="C143" s="754"/>
      <c r="D143" s="754"/>
      <c r="E143" s="754"/>
      <c r="F143" s="157">
        <f>+F141-F142</f>
        <v>24123858728.353516</v>
      </c>
      <c r="G143" s="157">
        <f t="shared" ref="G143:J143" si="20">+G141-G142</f>
        <v>25568105902.702576</v>
      </c>
      <c r="H143" s="157">
        <f t="shared" si="20"/>
        <v>27296573781.990036</v>
      </c>
      <c r="I143" s="157">
        <f t="shared" si="20"/>
        <v>29296320777.258636</v>
      </c>
      <c r="J143" s="157">
        <f t="shared" si="20"/>
        <v>31291693185.39772</v>
      </c>
      <c r="K143" s="763"/>
    </row>
    <row r="144" spans="1:11">
      <c r="A144" s="754" t="s">
        <v>429</v>
      </c>
      <c r="B144" s="754"/>
      <c r="C144" s="754"/>
      <c r="D144" s="754"/>
      <c r="E144" s="754"/>
      <c r="F144" s="394">
        <f>+F143/$F$120</f>
        <v>120619.29364176758</v>
      </c>
      <c r="G144" s="394">
        <f t="shared" ref="G144:J144" si="21">+G143/$F$120</f>
        <v>127840.52951351288</v>
      </c>
      <c r="H144" s="394">
        <f t="shared" si="21"/>
        <v>136482.86890995019</v>
      </c>
      <c r="I144" s="394">
        <f t="shared" si="21"/>
        <v>146481.60388629319</v>
      </c>
      <c r="J144" s="394">
        <f t="shared" si="21"/>
        <v>156458.4659269886</v>
      </c>
      <c r="K144" s="763"/>
    </row>
    <row r="145" spans="1:11" ht="16.5" thickBot="1">
      <c r="A145" s="765" t="s">
        <v>418</v>
      </c>
      <c r="B145" s="766"/>
      <c r="C145" s="766"/>
      <c r="D145" s="766"/>
      <c r="E145" s="767"/>
      <c r="F145" s="392">
        <f>+F144/$F$121</f>
        <v>2.2800484003709443</v>
      </c>
      <c r="G145" s="392">
        <f t="shared" ref="G145:J145" si="22">+G144/$F$121</f>
        <v>2.4165503380043512</v>
      </c>
      <c r="H145" s="392">
        <f t="shared" si="22"/>
        <v>2.5799151822292914</v>
      </c>
      <c r="I145" s="392">
        <f t="shared" si="22"/>
        <v>2.7689197684794098</v>
      </c>
      <c r="J145" s="392">
        <f t="shared" si="22"/>
        <v>2.9575108939105421</v>
      </c>
      <c r="K145" s="764"/>
    </row>
    <row r="146" spans="1:11" ht="9" customHeight="1"/>
    <row r="147" spans="1:11" ht="9" customHeight="1"/>
    <row r="148" spans="1:11" ht="9.75" customHeight="1"/>
    <row r="149" spans="1:11" ht="9.75" customHeight="1"/>
    <row r="151" spans="1:11" ht="15.75" thickBot="1"/>
    <row r="152" spans="1:11">
      <c r="A152" s="548" t="s">
        <v>430</v>
      </c>
      <c r="B152" s="549"/>
      <c r="C152" s="549"/>
      <c r="D152" s="549"/>
      <c r="E152" s="549"/>
      <c r="F152" s="549"/>
      <c r="G152" s="549"/>
      <c r="H152" s="549"/>
      <c r="I152" s="549"/>
      <c r="J152" s="550"/>
    </row>
    <row r="153" spans="1:11" ht="15.75" thickBot="1">
      <c r="A153" s="551"/>
      <c r="B153" s="552"/>
      <c r="C153" s="552"/>
      <c r="D153" s="552"/>
      <c r="E153" s="552"/>
      <c r="F153" s="552"/>
      <c r="G153" s="552"/>
      <c r="H153" s="552"/>
      <c r="I153" s="552"/>
      <c r="J153" s="553"/>
    </row>
    <row r="154" spans="1:11" ht="15.75" thickBot="1"/>
    <row r="155" spans="1:11">
      <c r="A155" s="749" t="s">
        <v>398</v>
      </c>
      <c r="B155" s="749"/>
      <c r="C155" s="749"/>
      <c r="D155" s="749"/>
      <c r="E155" s="749"/>
      <c r="F155" s="288">
        <f>F140</f>
        <v>2021</v>
      </c>
      <c r="G155" s="288">
        <f>G140</f>
        <v>2022</v>
      </c>
      <c r="H155" s="288">
        <f>H140</f>
        <v>2023</v>
      </c>
      <c r="I155" s="288">
        <f>I140</f>
        <v>2024</v>
      </c>
      <c r="J155" s="368">
        <f>J140</f>
        <v>2025</v>
      </c>
      <c r="K155" s="770" t="s">
        <v>431</v>
      </c>
    </row>
    <row r="156" spans="1:11">
      <c r="A156" s="754" t="s">
        <v>126</v>
      </c>
      <c r="B156" s="754"/>
      <c r="C156" s="754"/>
      <c r="D156" s="754"/>
      <c r="E156" s="754"/>
      <c r="F156" s="395">
        <f>+F60</f>
        <v>12432020056.726618</v>
      </c>
      <c r="G156" s="395">
        <f t="shared" ref="G156:J156" si="23">+G60</f>
        <v>13176300233.482721</v>
      </c>
      <c r="H156" s="395">
        <f t="shared" si="23"/>
        <v>14067051070.016741</v>
      </c>
      <c r="I156" s="395">
        <f t="shared" si="23"/>
        <v>15097603231.40617</v>
      </c>
      <c r="J156" s="395">
        <f t="shared" si="23"/>
        <v>16125900987.497242</v>
      </c>
      <c r="K156" s="771"/>
    </row>
    <row r="157" spans="1:11">
      <c r="A157" s="754" t="s">
        <v>370</v>
      </c>
      <c r="B157" s="754"/>
      <c r="C157" s="754"/>
      <c r="D157" s="754"/>
      <c r="E157" s="754"/>
      <c r="F157" s="396">
        <f>+F65</f>
        <v>482532421.9885</v>
      </c>
      <c r="G157" s="396">
        <f t="shared" ref="G157:J158" si="24">+G65</f>
        <v>454190970.86219996</v>
      </c>
      <c r="H157" s="396">
        <f t="shared" si="24"/>
        <v>410539458.14414001</v>
      </c>
      <c r="I157" s="396">
        <f t="shared" si="24"/>
        <v>383731353.79896796</v>
      </c>
      <c r="J157" s="396">
        <f t="shared" si="24"/>
        <v>360517372.5587616</v>
      </c>
      <c r="K157" s="771"/>
    </row>
    <row r="158" spans="1:11">
      <c r="A158" s="754" t="s">
        <v>371</v>
      </c>
      <c r="B158" s="754"/>
      <c r="C158" s="754"/>
      <c r="D158" s="754"/>
      <c r="E158" s="754"/>
      <c r="F158" s="396">
        <f>+F66</f>
        <v>187586932.09600002</v>
      </c>
      <c r="G158" s="396">
        <f t="shared" si="24"/>
        <v>151653711.9032</v>
      </c>
      <c r="H158" s="396">
        <f t="shared" si="24"/>
        <v>79943648.145840004</v>
      </c>
      <c r="I158" s="396">
        <f t="shared" si="24"/>
        <v>90534553.561008006</v>
      </c>
      <c r="J158" s="396">
        <f t="shared" si="24"/>
        <v>108375352.2732096</v>
      </c>
      <c r="K158" s="771"/>
    </row>
    <row r="159" spans="1:11">
      <c r="A159" s="761" t="s">
        <v>1</v>
      </c>
      <c r="B159" s="761"/>
      <c r="C159" s="761"/>
      <c r="D159" s="761"/>
      <c r="E159" s="761"/>
      <c r="F159" s="395">
        <f>+F156+F157+F158</f>
        <v>13102139410.811119</v>
      </c>
      <c r="G159" s="395">
        <f t="shared" ref="G159:J159" si="25">+G156+G157+G158</f>
        <v>13782144916.248121</v>
      </c>
      <c r="H159" s="395">
        <f t="shared" si="25"/>
        <v>14557534176.306721</v>
      </c>
      <c r="I159" s="395">
        <f t="shared" si="25"/>
        <v>15571869138.766146</v>
      </c>
      <c r="J159" s="395">
        <f t="shared" si="25"/>
        <v>16594793712.329214</v>
      </c>
      <c r="K159" s="771"/>
    </row>
    <row r="160" spans="1:11">
      <c r="K160" s="771"/>
    </row>
    <row r="161" spans="1:11">
      <c r="A161" s="749" t="s">
        <v>398</v>
      </c>
      <c r="B161" s="749"/>
      <c r="C161" s="749"/>
      <c r="D161" s="749"/>
      <c r="E161" s="749"/>
      <c r="F161" s="288">
        <f>F155</f>
        <v>2021</v>
      </c>
      <c r="G161" s="288">
        <f>G155</f>
        <v>2022</v>
      </c>
      <c r="H161" s="288">
        <f>H155</f>
        <v>2023</v>
      </c>
      <c r="I161" s="288">
        <f>I155</f>
        <v>2024</v>
      </c>
      <c r="J161" s="368">
        <f>J155</f>
        <v>2025</v>
      </c>
      <c r="K161" s="771"/>
    </row>
    <row r="162" spans="1:11">
      <c r="A162" s="754" t="s">
        <v>400</v>
      </c>
      <c r="B162" s="754"/>
      <c r="C162" s="754"/>
      <c r="D162" s="754"/>
      <c r="E162" s="754"/>
      <c r="F162" s="189">
        <f>+F99</f>
        <v>0.16546142164162325</v>
      </c>
      <c r="G162" s="189">
        <f t="shared" ref="G162:J163" si="26">+G99</f>
        <v>0.16274698307086713</v>
      </c>
      <c r="H162" s="189">
        <f t="shared" si="26"/>
        <v>0.1607168092243991</v>
      </c>
      <c r="I162" s="189">
        <f t="shared" si="26"/>
        <v>0.15691546421159649</v>
      </c>
      <c r="J162" s="189">
        <f t="shared" si="26"/>
        <v>0.15435224249112248</v>
      </c>
      <c r="K162" s="771"/>
    </row>
    <row r="163" spans="1:11">
      <c r="A163" s="755" t="s">
        <v>401</v>
      </c>
      <c r="B163" s="755"/>
      <c r="C163" s="755"/>
      <c r="D163" s="755"/>
      <c r="E163" s="755"/>
      <c r="F163" s="189">
        <f>+F100</f>
        <v>0.16546142164162325</v>
      </c>
      <c r="G163" s="189">
        <f t="shared" si="26"/>
        <v>0.3551367518992814</v>
      </c>
      <c r="H163" s="189">
        <f t="shared" si="26"/>
        <v>0.57293000672725003</v>
      </c>
      <c r="I163" s="189">
        <f t="shared" si="26"/>
        <v>0.81974704890520589</v>
      </c>
      <c r="J163" s="189">
        <f t="shared" si="26"/>
        <v>1.100629086670327</v>
      </c>
      <c r="K163" s="771"/>
    </row>
    <row r="164" spans="1:11">
      <c r="A164" s="370"/>
      <c r="B164" s="371"/>
      <c r="C164" s="371"/>
      <c r="D164" s="371"/>
      <c r="E164" s="371"/>
      <c r="F164" s="371"/>
      <c r="G164" s="371"/>
      <c r="H164" s="371"/>
      <c r="I164" s="371"/>
      <c r="J164" s="372"/>
      <c r="K164" s="772"/>
    </row>
    <row r="165" spans="1:11">
      <c r="A165" s="774" t="s">
        <v>432</v>
      </c>
      <c r="B165" s="774"/>
      <c r="C165" s="774"/>
      <c r="D165" s="774"/>
      <c r="E165" s="774"/>
      <c r="F165" s="397">
        <f>+F159</f>
        <v>13102139410.811119</v>
      </c>
      <c r="G165" s="397">
        <f t="shared" ref="G165:J165" si="27">+G159</f>
        <v>13782144916.248121</v>
      </c>
      <c r="H165" s="397">
        <f t="shared" si="27"/>
        <v>14557534176.306721</v>
      </c>
      <c r="I165" s="397">
        <f t="shared" si="27"/>
        <v>15571869138.766146</v>
      </c>
      <c r="J165" s="397">
        <f t="shared" si="27"/>
        <v>16594793712.329214</v>
      </c>
      <c r="K165" s="771"/>
    </row>
    <row r="166" spans="1:11">
      <c r="A166" s="370"/>
      <c r="B166" s="371"/>
      <c r="C166" s="371"/>
      <c r="D166" s="371"/>
      <c r="E166" s="371"/>
      <c r="F166" s="371"/>
      <c r="G166" s="371"/>
      <c r="H166" s="371"/>
      <c r="I166" s="371"/>
      <c r="J166" s="372"/>
      <c r="K166" s="772"/>
    </row>
    <row r="167" spans="1:11" ht="15.75">
      <c r="A167" s="775" t="s">
        <v>433</v>
      </c>
      <c r="B167" s="775"/>
      <c r="C167" s="775"/>
      <c r="D167" s="775"/>
      <c r="E167" s="775"/>
      <c r="F167" s="398">
        <f>+F165/(1+F163)</f>
        <v>11242018969.9252</v>
      </c>
      <c r="G167" s="398">
        <f t="shared" ref="G167:J167" si="28">+G165/(1+G163)</f>
        <v>10170298235.164726</v>
      </c>
      <c r="H167" s="398">
        <f t="shared" si="28"/>
        <v>9255042572.8072681</v>
      </c>
      <c r="I167" s="398">
        <f t="shared" si="28"/>
        <v>8557161363.7920036</v>
      </c>
      <c r="J167" s="398">
        <f t="shared" si="28"/>
        <v>7899916181.1252232</v>
      </c>
      <c r="K167" s="771"/>
    </row>
    <row r="168" spans="1:11">
      <c r="K168" s="771"/>
    </row>
    <row r="169" spans="1:11">
      <c r="A169" s="754" t="s">
        <v>434</v>
      </c>
      <c r="B169" s="754"/>
      <c r="C169" s="754"/>
      <c r="D169" s="754"/>
      <c r="E169" s="754"/>
      <c r="F169" s="399">
        <f>SUM(F167:J167)</f>
        <v>47124437322.814415</v>
      </c>
      <c r="K169" s="771"/>
    </row>
    <row r="170" spans="1:11">
      <c r="K170" s="771"/>
    </row>
    <row r="171" spans="1:11">
      <c r="A171" s="754" t="s">
        <v>408</v>
      </c>
      <c r="B171" s="754"/>
      <c r="C171" s="754"/>
      <c r="D171" s="754"/>
      <c r="E171" s="754"/>
      <c r="F171" s="384">
        <f>+F169</f>
        <v>47124437322.814415</v>
      </c>
      <c r="K171" s="771"/>
    </row>
    <row r="172" spans="1:11">
      <c r="A172" s="754" t="s">
        <v>409</v>
      </c>
      <c r="B172" s="754"/>
      <c r="C172" s="754"/>
      <c r="D172" s="754"/>
      <c r="E172" s="754"/>
      <c r="F172" s="385">
        <f>+F113</f>
        <v>59500310046.200012</v>
      </c>
      <c r="K172" s="771"/>
    </row>
    <row r="173" spans="1:11">
      <c r="A173" s="754" t="s">
        <v>410</v>
      </c>
      <c r="B173" s="754"/>
      <c r="C173" s="754"/>
      <c r="D173" s="754"/>
      <c r="E173" s="754"/>
      <c r="F173" s="385">
        <f t="shared" ref="F173:F174" si="29">+F114</f>
        <v>64625875277.689995</v>
      </c>
      <c r="K173" s="771"/>
    </row>
    <row r="174" spans="1:11">
      <c r="A174" s="754" t="s">
        <v>411</v>
      </c>
      <c r="B174" s="754"/>
      <c r="C174" s="754"/>
      <c r="D174" s="754"/>
      <c r="E174" s="754"/>
      <c r="F174" s="385">
        <f t="shared" si="29"/>
        <v>9976127172.5499992</v>
      </c>
      <c r="K174" s="771"/>
    </row>
    <row r="175" spans="1:11">
      <c r="A175" s="761" t="s">
        <v>412</v>
      </c>
      <c r="B175" s="761"/>
      <c r="C175" s="761"/>
      <c r="D175" s="761"/>
      <c r="E175" s="761"/>
      <c r="F175" s="386">
        <f>+F171-F172+F173-F174</f>
        <v>42273875381.754395</v>
      </c>
      <c r="G175" s="387"/>
      <c r="K175" s="771"/>
    </row>
    <row r="176" spans="1:11">
      <c r="F176" s="388"/>
      <c r="K176" s="771"/>
    </row>
    <row r="177" spans="1:17">
      <c r="A177" s="754" t="s">
        <v>413</v>
      </c>
      <c r="B177" s="754"/>
      <c r="C177" s="754"/>
      <c r="D177" s="754"/>
      <c r="E177" s="754"/>
      <c r="F177" s="385">
        <f>+F118</f>
        <v>10580415189.619999</v>
      </c>
      <c r="K177" s="771"/>
    </row>
    <row r="178" spans="1:17">
      <c r="A178" s="310"/>
      <c r="B178" s="310"/>
      <c r="C178" s="310"/>
      <c r="D178" s="310"/>
      <c r="E178" s="310"/>
      <c r="F178" s="310"/>
      <c r="K178" s="771"/>
    </row>
    <row r="179" spans="1:17">
      <c r="A179" s="754" t="s">
        <v>414</v>
      </c>
      <c r="B179" s="754"/>
      <c r="C179" s="754"/>
      <c r="D179" s="754"/>
      <c r="E179" s="754"/>
      <c r="F179" s="389">
        <f>+F120</f>
        <v>200000</v>
      </c>
      <c r="G179" s="390" t="s">
        <v>415</v>
      </c>
      <c r="K179" s="771"/>
    </row>
    <row r="180" spans="1:17">
      <c r="A180" s="754" t="s">
        <v>416</v>
      </c>
      <c r="B180" s="754"/>
      <c r="C180" s="754"/>
      <c r="D180" s="754"/>
      <c r="E180" s="754"/>
      <c r="F180" s="391">
        <f>+F177/F179</f>
        <v>52902.075948099991</v>
      </c>
      <c r="K180" s="771"/>
    </row>
    <row r="181" spans="1:17">
      <c r="A181" s="754" t="s">
        <v>417</v>
      </c>
      <c r="B181" s="754"/>
      <c r="C181" s="754"/>
      <c r="D181" s="754"/>
      <c r="E181" s="754"/>
      <c r="F181" s="391">
        <f>+F175/F179</f>
        <v>211369.37690877198</v>
      </c>
      <c r="K181" s="771"/>
    </row>
    <row r="182" spans="1:17" ht="16.5" thickBot="1">
      <c r="A182" s="758" t="s">
        <v>418</v>
      </c>
      <c r="B182" s="758"/>
      <c r="C182" s="758"/>
      <c r="D182" s="758"/>
      <c r="E182" s="758"/>
      <c r="F182" s="392">
        <f>+F181/F180</f>
        <v>3.9954836009864265</v>
      </c>
      <c r="G182" s="400"/>
      <c r="K182" s="773"/>
    </row>
    <row r="186" spans="1:17" ht="15.75" thickBot="1"/>
    <row r="187" spans="1:17" ht="15" customHeight="1">
      <c r="A187" s="548" t="s">
        <v>435</v>
      </c>
      <c r="B187" s="549"/>
      <c r="C187" s="549"/>
      <c r="D187" s="549"/>
      <c r="E187" s="549"/>
      <c r="F187" s="549"/>
      <c r="G187" s="549"/>
      <c r="H187" s="549"/>
      <c r="I187" s="549"/>
      <c r="J187" s="549"/>
      <c r="K187" s="550"/>
    </row>
    <row r="188" spans="1:17" ht="15" customHeight="1" thickBot="1">
      <c r="A188" s="551"/>
      <c r="B188" s="552"/>
      <c r="C188" s="552"/>
      <c r="D188" s="552"/>
      <c r="E188" s="552"/>
      <c r="F188" s="552"/>
      <c r="G188" s="552"/>
      <c r="H188" s="552"/>
      <c r="I188" s="552"/>
      <c r="J188" s="552"/>
      <c r="K188" s="553"/>
    </row>
    <row r="189" spans="1:17" ht="30.75" thickBot="1">
      <c r="A189" s="768" t="s">
        <v>436</v>
      </c>
      <c r="B189" s="769"/>
      <c r="C189" s="769"/>
      <c r="D189" s="769"/>
      <c r="E189" s="769"/>
      <c r="F189" s="401" t="s">
        <v>437</v>
      </c>
      <c r="G189" s="401" t="s">
        <v>438</v>
      </c>
      <c r="H189" s="401" t="s">
        <v>439</v>
      </c>
      <c r="I189" s="402" t="s">
        <v>418</v>
      </c>
      <c r="J189" s="401" t="s">
        <v>440</v>
      </c>
      <c r="K189" s="403" t="s">
        <v>441</v>
      </c>
      <c r="O189" s="404" t="s">
        <v>442</v>
      </c>
      <c r="P189" s="404" t="s">
        <v>443</v>
      </c>
      <c r="Q189" s="404" t="s">
        <v>436</v>
      </c>
    </row>
    <row r="190" spans="1:17">
      <c r="A190" s="781" t="s">
        <v>444</v>
      </c>
      <c r="B190" s="782"/>
      <c r="C190" s="782"/>
      <c r="D190" s="782"/>
      <c r="E190" s="783"/>
      <c r="F190" s="405">
        <f>+J133</f>
        <v>14474571224.304306</v>
      </c>
      <c r="G190" s="406">
        <f>+F177</f>
        <v>10580415189.619999</v>
      </c>
      <c r="H190" s="406">
        <f>+F190-G190</f>
        <v>3894156034.6843071</v>
      </c>
      <c r="I190" s="407">
        <f t="shared" ref="I190:I191" si="30">+F190/G190</f>
        <v>1.3680532346693446</v>
      </c>
      <c r="J190" s="407">
        <v>4.8499999999999996</v>
      </c>
      <c r="K190" s="408">
        <f>+I190-J190</f>
        <v>-3.4819467653306551</v>
      </c>
      <c r="O190" s="175" t="s">
        <v>445</v>
      </c>
      <c r="P190" s="409">
        <f>+AVERAGE(F192:F193)</f>
        <v>62524788755.210899</v>
      </c>
      <c r="Q190" s="188" t="s">
        <v>446</v>
      </c>
    </row>
    <row r="191" spans="1:17" ht="15.75" thickBot="1">
      <c r="A191" s="776" t="s">
        <v>447</v>
      </c>
      <c r="B191" s="761"/>
      <c r="C191" s="761"/>
      <c r="D191" s="761"/>
      <c r="E191" s="777"/>
      <c r="F191" s="410">
        <f>+J143</f>
        <v>31291693185.39772</v>
      </c>
      <c r="G191" s="287">
        <f>+G190</f>
        <v>10580415189.619999</v>
      </c>
      <c r="H191" s="287">
        <f t="shared" ref="H191:H193" si="31">+F191-G191</f>
        <v>20711277995.777721</v>
      </c>
      <c r="I191" s="411">
        <f t="shared" si="30"/>
        <v>2.9575108939105421</v>
      </c>
      <c r="J191" s="411">
        <v>4.8499999999999996</v>
      </c>
      <c r="K191" s="412">
        <f t="shared" ref="K191:K193" si="32">+I191-J191</f>
        <v>-1.8924891060894575</v>
      </c>
      <c r="O191" s="175" t="s">
        <v>448</v>
      </c>
      <c r="P191" s="287">
        <f>+L192</f>
        <v>42703960480.03096</v>
      </c>
      <c r="Q191" s="188" t="s">
        <v>2</v>
      </c>
    </row>
    <row r="192" spans="1:17" ht="16.5" thickBot="1">
      <c r="A192" s="776" t="s">
        <v>1</v>
      </c>
      <c r="B192" s="761"/>
      <c r="C192" s="761"/>
      <c r="D192" s="761"/>
      <c r="E192" s="777"/>
      <c r="F192" s="413">
        <f>+F175</f>
        <v>42273875381.754395</v>
      </c>
      <c r="G192" s="287">
        <f t="shared" ref="G192:G193" si="33">+G191</f>
        <v>10580415189.619999</v>
      </c>
      <c r="H192" s="287">
        <f t="shared" si="31"/>
        <v>31693460192.134396</v>
      </c>
      <c r="I192" s="411">
        <f>+F192/G192</f>
        <v>3.9954836009864261</v>
      </c>
      <c r="J192" s="411">
        <v>4.8499999999999996</v>
      </c>
      <c r="K192" s="412">
        <f t="shared" si="32"/>
        <v>-0.85451639901357357</v>
      </c>
      <c r="L192" s="784">
        <f>SUM(AVERAGE(F190:F193))</f>
        <v>42703960480.03096</v>
      </c>
      <c r="M192" s="785"/>
      <c r="N192" s="414">
        <f>AVERAGE(I190:I193)</f>
        <v>4.0361327712286776</v>
      </c>
      <c r="O192" s="175" t="s">
        <v>449</v>
      </c>
      <c r="P192" s="287">
        <f>AVERAGE(F190:F191)</f>
        <v>22883132204.851013</v>
      </c>
      <c r="Q192" s="188" t="s">
        <v>450</v>
      </c>
    </row>
    <row r="193" spans="1:14" ht="15.75" thickBot="1">
      <c r="A193" s="778" t="s">
        <v>451</v>
      </c>
      <c r="B193" s="779"/>
      <c r="C193" s="779"/>
      <c r="D193" s="779"/>
      <c r="E193" s="780"/>
      <c r="F193" s="415">
        <f>+F116</f>
        <v>82775702128.667404</v>
      </c>
      <c r="G193" s="287">
        <f t="shared" si="33"/>
        <v>10580415189.619999</v>
      </c>
      <c r="H193" s="416">
        <f t="shared" si="31"/>
        <v>72195286939.047409</v>
      </c>
      <c r="I193" s="417">
        <f t="shared" ref="I193" si="34">+F193/G193</f>
        <v>7.8234833553483956</v>
      </c>
      <c r="J193" s="417">
        <v>4.8499999999999996</v>
      </c>
      <c r="K193" s="418">
        <f t="shared" si="32"/>
        <v>2.9734833553483959</v>
      </c>
      <c r="L193" s="786"/>
      <c r="M193" s="787"/>
      <c r="N193" s="419" t="s">
        <v>452</v>
      </c>
    </row>
    <row r="194" spans="1:14">
      <c r="H194" s="388"/>
    </row>
    <row r="195" spans="1:14" ht="15.75" thickBot="1">
      <c r="J195" s="420"/>
      <c r="M195" s="400"/>
    </row>
    <row r="196" spans="1:14">
      <c r="A196" s="781" t="s">
        <v>17</v>
      </c>
      <c r="B196" s="782"/>
      <c r="C196" s="782"/>
      <c r="D196" s="782"/>
      <c r="E196" s="783"/>
      <c r="F196" s="421">
        <f>+L192/'Analisis Financiero'!J93</f>
        <v>0.83540862186165143</v>
      </c>
      <c r="J196" s="120" t="s">
        <v>453</v>
      </c>
      <c r="K196" s="120"/>
    </row>
    <row r="197" spans="1:14">
      <c r="A197" s="776" t="s">
        <v>454</v>
      </c>
      <c r="B197" s="761"/>
      <c r="C197" s="761"/>
      <c r="D197" s="761"/>
      <c r="E197" s="777"/>
      <c r="F197" s="422">
        <f>+L192/'Analisis Financiero'!J106</f>
        <v>65.51085758076249</v>
      </c>
    </row>
    <row r="198" spans="1:14" ht="15.75" thickBot="1">
      <c r="A198" s="778" t="s">
        <v>1</v>
      </c>
      <c r="B198" s="779"/>
      <c r="C198" s="779"/>
      <c r="D198" s="779"/>
      <c r="E198" s="780"/>
      <c r="F198" s="423">
        <f>+L192/('Analisis Financiero'!J106+'Analisis Financiero'!J105+'Analisis Financiero'!J102+'Analisis Financiero'!J111+'Analisis Financiero'!J112)</f>
        <v>2.6985050060653686</v>
      </c>
    </row>
    <row r="199" spans="1:14" ht="15.75" thickBot="1">
      <c r="A199" s="778" t="s">
        <v>455</v>
      </c>
      <c r="B199" s="779"/>
      <c r="C199" s="779"/>
      <c r="D199" s="779"/>
      <c r="E199" s="780"/>
      <c r="F199" s="423">
        <f>+L192/('Analisis Financiero'!J98+'Analisis Financiero'!J111+'Analisis Financiero'!J112)</f>
        <v>11.607430409573539</v>
      </c>
    </row>
    <row r="201" spans="1:14">
      <c r="F201" s="89" t="s">
        <v>456</v>
      </c>
      <c r="G201" s="89"/>
    </row>
  </sheetData>
  <mergeCells count="137">
    <mergeCell ref="A197:E197"/>
    <mergeCell ref="A198:E198"/>
    <mergeCell ref="A199:E199"/>
    <mergeCell ref="A190:E190"/>
    <mergeCell ref="A191:E191"/>
    <mergeCell ref="A192:E192"/>
    <mergeCell ref="L192:M193"/>
    <mergeCell ref="A193:E193"/>
    <mergeCell ref="A196:E196"/>
    <mergeCell ref="A182:E182"/>
    <mergeCell ref="A187:K188"/>
    <mergeCell ref="A189:E189"/>
    <mergeCell ref="A171:E171"/>
    <mergeCell ref="A172:E172"/>
    <mergeCell ref="A173:E173"/>
    <mergeCell ref="A174:E174"/>
    <mergeCell ref="A175:E175"/>
    <mergeCell ref="A177:E177"/>
    <mergeCell ref="K155:K182"/>
    <mergeCell ref="A161:E161"/>
    <mergeCell ref="A162:E162"/>
    <mergeCell ref="A163:E163"/>
    <mergeCell ref="A165:E165"/>
    <mergeCell ref="A167:E167"/>
    <mergeCell ref="A169:E169"/>
    <mergeCell ref="A152:J153"/>
    <mergeCell ref="A155:E155"/>
    <mergeCell ref="A156:E156"/>
    <mergeCell ref="A157:E157"/>
    <mergeCell ref="A158:E158"/>
    <mergeCell ref="A159:E159"/>
    <mergeCell ref="A179:E179"/>
    <mergeCell ref="A180:E180"/>
    <mergeCell ref="A181:E181"/>
    <mergeCell ref="A127:J128"/>
    <mergeCell ref="A110:E110"/>
    <mergeCell ref="A112:E112"/>
    <mergeCell ref="A113:E113"/>
    <mergeCell ref="A114:E114"/>
    <mergeCell ref="A115:E115"/>
    <mergeCell ref="A116:E116"/>
    <mergeCell ref="A130:E130"/>
    <mergeCell ref="K130:K145"/>
    <mergeCell ref="A131:E131"/>
    <mergeCell ref="A132:E132"/>
    <mergeCell ref="A133:E133"/>
    <mergeCell ref="A134:E134"/>
    <mergeCell ref="A135:E135"/>
    <mergeCell ref="A140:E140"/>
    <mergeCell ref="A141:E141"/>
    <mergeCell ref="A142:E142"/>
    <mergeCell ref="A143:E143"/>
    <mergeCell ref="A144:E144"/>
    <mergeCell ref="A145:E145"/>
    <mergeCell ref="A98:E98"/>
    <mergeCell ref="K98:K123"/>
    <mergeCell ref="A99:E99"/>
    <mergeCell ref="A100:E100"/>
    <mergeCell ref="A102:E102"/>
    <mergeCell ref="A103:E103"/>
    <mergeCell ref="A105:E105"/>
    <mergeCell ref="A106:E106"/>
    <mergeCell ref="A108:E108"/>
    <mergeCell ref="A109:E109"/>
    <mergeCell ref="A118:E118"/>
    <mergeCell ref="A120:E120"/>
    <mergeCell ref="A121:E121"/>
    <mergeCell ref="A122:E122"/>
    <mergeCell ref="A123:E123"/>
    <mergeCell ref="F91:I91"/>
    <mergeCell ref="F92:I92"/>
    <mergeCell ref="K92:L95"/>
    <mergeCell ref="F93:I93"/>
    <mergeCell ref="F94:I94"/>
    <mergeCell ref="F95:I95"/>
    <mergeCell ref="A77:J78"/>
    <mergeCell ref="F82:I82"/>
    <mergeCell ref="F83:I83"/>
    <mergeCell ref="F86:I86"/>
    <mergeCell ref="F87:I87"/>
    <mergeCell ref="K87:L89"/>
    <mergeCell ref="F88:I88"/>
    <mergeCell ref="F89:I89"/>
    <mergeCell ref="B68:E68"/>
    <mergeCell ref="B70:E70"/>
    <mergeCell ref="B71:E71"/>
    <mergeCell ref="B72:E72"/>
    <mergeCell ref="B74:E74"/>
    <mergeCell ref="A76:D76"/>
    <mergeCell ref="B60:E60"/>
    <mergeCell ref="B62:E62"/>
    <mergeCell ref="B63:E63"/>
    <mergeCell ref="B65:E65"/>
    <mergeCell ref="B66:E66"/>
    <mergeCell ref="B67:E67"/>
    <mergeCell ref="A51:E51"/>
    <mergeCell ref="A53:J54"/>
    <mergeCell ref="B56:E56"/>
    <mergeCell ref="B57:E57"/>
    <mergeCell ref="B58:E58"/>
    <mergeCell ref="B59:E59"/>
    <mergeCell ref="A42:E42"/>
    <mergeCell ref="A43:E43"/>
    <mergeCell ref="A44:E44"/>
    <mergeCell ref="A46:E46"/>
    <mergeCell ref="A48:E48"/>
    <mergeCell ref="A49:E49"/>
    <mergeCell ref="A36:E36"/>
    <mergeCell ref="A37:E37"/>
    <mergeCell ref="A39:E39"/>
    <mergeCell ref="A19:E19"/>
    <mergeCell ref="G19:G20"/>
    <mergeCell ref="A20:F20"/>
    <mergeCell ref="A22:E22"/>
    <mergeCell ref="G22:G27"/>
    <mergeCell ref="A23:E23"/>
    <mergeCell ref="A24:E24"/>
    <mergeCell ref="A26:E26"/>
    <mergeCell ref="A27:E27"/>
    <mergeCell ref="A12:E12"/>
    <mergeCell ref="G12:G17"/>
    <mergeCell ref="A13:E13"/>
    <mergeCell ref="A14:E14"/>
    <mergeCell ref="A16:E16"/>
    <mergeCell ref="A17:E17"/>
    <mergeCell ref="A29:E29"/>
    <mergeCell ref="A32:E32"/>
    <mergeCell ref="A35:E35"/>
    <mergeCell ref="A3:Q4"/>
    <mergeCell ref="A5:Q5"/>
    <mergeCell ref="A6:Q6"/>
    <mergeCell ref="A7:Q7"/>
    <mergeCell ref="A8:Q8"/>
    <mergeCell ref="A9:F9"/>
    <mergeCell ref="A10:F10"/>
    <mergeCell ref="I10:N10"/>
    <mergeCell ref="A11:E11"/>
  </mergeCells>
  <hyperlinks>
    <hyperlink ref="A1" location="CONTENIDO!A29" display="MENU PRINCIPAL" xr:uid="{00000000-0004-0000-1200-000000000000}"/>
  </hyperlink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1">
    <tabColor rgb="FF00B0F0"/>
  </sheetPr>
  <dimension ref="A1:Q213"/>
  <sheetViews>
    <sheetView zoomScale="85" zoomScaleNormal="85" workbookViewId="0"/>
  </sheetViews>
  <sheetFormatPr baseColWidth="10" defaultRowHeight="15"/>
  <cols>
    <col min="1" max="1" width="29.42578125" style="2" customWidth="1"/>
    <col min="2" max="4" width="11.42578125" style="2"/>
    <col min="5" max="5" width="19.42578125" style="2" bestFit="1" customWidth="1"/>
    <col min="6" max="6" width="24.5703125" style="2" bestFit="1" customWidth="1"/>
    <col min="7" max="7" width="20.42578125" style="2" bestFit="1" customWidth="1"/>
    <col min="8" max="8" width="19.140625" style="2" bestFit="1" customWidth="1"/>
    <col min="9" max="9" width="20.42578125" style="2" bestFit="1" customWidth="1"/>
    <col min="10" max="10" width="19.42578125" style="2" bestFit="1" customWidth="1"/>
    <col min="11" max="11" width="29" style="2" customWidth="1"/>
    <col min="12" max="12" width="12.28515625" style="2" bestFit="1" customWidth="1"/>
    <col min="13" max="13" width="16.5703125" style="2" bestFit="1" customWidth="1"/>
    <col min="14" max="14" width="12.42578125" style="2" bestFit="1" customWidth="1"/>
    <col min="15" max="15" width="12" style="2" bestFit="1" customWidth="1"/>
    <col min="16" max="16" width="16.28515625" style="2" bestFit="1" customWidth="1"/>
    <col min="17" max="17" width="11.7109375" style="2" bestFit="1" customWidth="1"/>
    <col min="18" max="16384" width="11.42578125" style="2"/>
  </cols>
  <sheetData>
    <row r="1" spans="1:17" ht="27" thickBot="1">
      <c r="A1" s="147" t="s">
        <v>191</v>
      </c>
    </row>
    <row r="2" spans="1:17" ht="15.75" thickBot="1"/>
    <row r="3" spans="1:17">
      <c r="A3" s="627" t="s">
        <v>457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9"/>
    </row>
    <row r="4" spans="1:17" ht="15.75" thickBot="1">
      <c r="A4" s="630"/>
      <c r="B4" s="631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1"/>
      <c r="N4" s="631"/>
      <c r="O4" s="631"/>
      <c r="P4" s="631"/>
      <c r="Q4" s="632"/>
    </row>
    <row r="5" spans="1:17" ht="23.25">
      <c r="A5" s="537" t="str">
        <f>+'Valoración Sin Estrategia'!A5:Q5</f>
        <v>FARMACÉUTICAS SAS</v>
      </c>
      <c r="B5" s="538"/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8"/>
      <c r="O5" s="538"/>
      <c r="P5" s="538"/>
      <c r="Q5" s="554"/>
    </row>
    <row r="6" spans="1:17">
      <c r="A6" s="494" t="s">
        <v>277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555"/>
    </row>
    <row r="7" spans="1:17">
      <c r="A7" s="494" t="s">
        <v>207</v>
      </c>
      <c r="B7" s="495"/>
      <c r="C7" s="495"/>
      <c r="D7" s="495"/>
      <c r="E7" s="495"/>
      <c r="F7" s="495"/>
      <c r="G7" s="495"/>
      <c r="H7" s="495"/>
      <c r="I7" s="495"/>
      <c r="J7" s="495"/>
      <c r="K7" s="495"/>
      <c r="L7" s="495"/>
      <c r="M7" s="495"/>
      <c r="N7" s="495"/>
      <c r="O7" s="495"/>
      <c r="P7" s="495"/>
      <c r="Q7" s="555"/>
    </row>
    <row r="8" spans="1:17" ht="15.75" thickBot="1">
      <c r="A8" s="519" t="s">
        <v>208</v>
      </c>
      <c r="B8" s="520"/>
      <c r="C8" s="520"/>
      <c r="D8" s="520"/>
      <c r="E8" s="520"/>
      <c r="F8" s="520"/>
      <c r="G8" s="520"/>
      <c r="H8" s="520"/>
      <c r="I8" s="520"/>
      <c r="J8" s="520"/>
      <c r="K8" s="520"/>
      <c r="L8" s="520"/>
      <c r="M8" s="520"/>
      <c r="N8" s="520"/>
      <c r="O8" s="520"/>
      <c r="P8" s="520"/>
      <c r="Q8" s="563"/>
    </row>
    <row r="9" spans="1:17" ht="20.25" thickBot="1">
      <c r="A9" s="788" t="s">
        <v>325</v>
      </c>
      <c r="B9" s="789"/>
      <c r="C9" s="789"/>
      <c r="D9" s="789"/>
      <c r="E9" s="789"/>
      <c r="F9" s="790"/>
      <c r="G9" s="310"/>
      <c r="H9" s="310"/>
      <c r="I9" s="310"/>
      <c r="J9" s="310"/>
      <c r="K9" s="310"/>
      <c r="L9" s="310"/>
      <c r="M9" s="310"/>
      <c r="N9" s="310"/>
      <c r="O9" s="310"/>
    </row>
    <row r="10" spans="1:17" ht="20.25" thickBot="1">
      <c r="A10" s="665" t="s">
        <v>326</v>
      </c>
      <c r="B10" s="666"/>
      <c r="C10" s="666"/>
      <c r="D10" s="666"/>
      <c r="E10" s="666"/>
      <c r="F10" s="667"/>
      <c r="G10" s="310"/>
      <c r="H10" s="310"/>
      <c r="I10" s="788" t="s">
        <v>327</v>
      </c>
      <c r="J10" s="789"/>
      <c r="K10" s="789"/>
      <c r="L10" s="789"/>
      <c r="M10" s="789"/>
      <c r="N10" s="790"/>
      <c r="O10" s="310"/>
    </row>
    <row r="11" spans="1:17" ht="30">
      <c r="A11" s="791" t="s">
        <v>138</v>
      </c>
      <c r="B11" s="792"/>
      <c r="C11" s="792"/>
      <c r="D11" s="792"/>
      <c r="E11" s="793"/>
      <c r="F11" s="424">
        <f>'Valoración Sin Estrategia'!F11</f>
        <v>2020</v>
      </c>
      <c r="G11" s="310"/>
      <c r="H11" s="310"/>
      <c r="I11" s="425" t="s">
        <v>328</v>
      </c>
      <c r="J11" s="426" t="s">
        <v>329</v>
      </c>
      <c r="K11" s="426" t="s">
        <v>330</v>
      </c>
      <c r="L11" s="426" t="s">
        <v>331</v>
      </c>
      <c r="M11" s="426" t="s">
        <v>332</v>
      </c>
      <c r="N11" s="427" t="s">
        <v>333</v>
      </c>
      <c r="O11" s="315"/>
    </row>
    <row r="12" spans="1:17" ht="18">
      <c r="A12" s="671" t="s">
        <v>334</v>
      </c>
      <c r="B12" s="671"/>
      <c r="C12" s="671"/>
      <c r="D12" s="671"/>
      <c r="E12" s="671"/>
      <c r="F12" s="316">
        <f>AVERAGE(K12:K21)</f>
        <v>4.35069572829615E-2</v>
      </c>
      <c r="G12" s="672" t="s">
        <v>335</v>
      </c>
      <c r="H12" s="317"/>
      <c r="I12" s="318">
        <v>2010</v>
      </c>
      <c r="J12" s="238">
        <v>0.14821092278719414</v>
      </c>
      <c r="K12" s="238">
        <v>8.4629338803557719E-2</v>
      </c>
      <c r="L12" s="238">
        <v>1.6400399999999999E-2</v>
      </c>
      <c r="M12" s="238">
        <v>3.1699999999999999E-2</v>
      </c>
      <c r="N12" s="238">
        <v>1.72E-2</v>
      </c>
      <c r="O12" s="319"/>
      <c r="P12" s="118"/>
    </row>
    <row r="13" spans="1:17">
      <c r="A13" s="673" t="s">
        <v>336</v>
      </c>
      <c r="B13" s="673"/>
      <c r="C13" s="673"/>
      <c r="D13" s="673"/>
      <c r="E13" s="673"/>
      <c r="F13" s="316">
        <f>AVERAGE(L12:L21)</f>
        <v>1.8196170000000001E-2</v>
      </c>
      <c r="G13" s="672"/>
      <c r="H13" s="317"/>
      <c r="I13" s="318">
        <v>2011</v>
      </c>
      <c r="J13" s="238">
        <v>2.09837473362805E-2</v>
      </c>
      <c r="K13" s="238">
        <v>0.16035334999461354</v>
      </c>
      <c r="L13" s="238">
        <v>3.1568399999999996E-2</v>
      </c>
      <c r="M13" s="238">
        <v>3.73E-2</v>
      </c>
      <c r="N13" s="238">
        <v>1.95E-2</v>
      </c>
      <c r="O13" s="319"/>
    </row>
    <row r="14" spans="1:17">
      <c r="A14" s="671" t="s">
        <v>337</v>
      </c>
      <c r="B14" s="671"/>
      <c r="C14" s="671"/>
      <c r="D14" s="671"/>
      <c r="E14" s="671"/>
      <c r="F14" s="320">
        <f>+((1+F12)/(1+F13))-1</f>
        <v>2.4858458545332862E-2</v>
      </c>
      <c r="G14" s="672"/>
      <c r="H14" s="317"/>
      <c r="I14" s="318">
        <v>2012</v>
      </c>
      <c r="J14" s="238">
        <v>0.15890585241730293</v>
      </c>
      <c r="K14" s="238">
        <v>2.971571978018946E-2</v>
      </c>
      <c r="L14" s="238">
        <v>2.0693400000000001E-2</v>
      </c>
      <c r="M14" s="238">
        <v>2.4400000000000002E-2</v>
      </c>
      <c r="N14" s="238">
        <v>1.12E-2</v>
      </c>
      <c r="O14" s="319"/>
    </row>
    <row r="15" spans="1:17">
      <c r="A15" s="267"/>
      <c r="B15" s="310"/>
      <c r="C15" s="310"/>
      <c r="D15" s="310"/>
      <c r="E15" s="310"/>
      <c r="F15" s="310"/>
      <c r="G15" s="672"/>
      <c r="H15" s="317"/>
      <c r="I15" s="318">
        <v>2013</v>
      </c>
      <c r="J15" s="238">
        <v>0.32145085858125483</v>
      </c>
      <c r="K15" s="238">
        <v>-9.104568794347262E-2</v>
      </c>
      <c r="L15" s="238">
        <v>1.4648300000000001E-2</v>
      </c>
      <c r="M15" s="238">
        <v>1.9400000000000001E-2</v>
      </c>
      <c r="N15" s="238">
        <v>1.66E-2</v>
      </c>
      <c r="O15" s="319"/>
    </row>
    <row r="16" spans="1:17">
      <c r="A16" s="673" t="s">
        <v>338</v>
      </c>
      <c r="B16" s="673"/>
      <c r="C16" s="673"/>
      <c r="D16" s="673"/>
      <c r="E16" s="673"/>
      <c r="F16" s="316">
        <f>AVERAGE(M12:M21)</f>
        <v>3.8529999999999995E-2</v>
      </c>
      <c r="G16" s="672"/>
      <c r="H16" s="317"/>
      <c r="I16" s="318">
        <v>2014</v>
      </c>
      <c r="J16" s="238">
        <v>0.13524421649462237</v>
      </c>
      <c r="K16" s="238">
        <v>0.10746180452004755</v>
      </c>
      <c r="L16" s="238">
        <v>1.6222199999999999E-2</v>
      </c>
      <c r="M16" s="238">
        <v>3.6600000000000001E-2</v>
      </c>
      <c r="N16" s="238">
        <v>1.9599999999999999E-2</v>
      </c>
      <c r="O16" s="319"/>
    </row>
    <row r="17" spans="1:15">
      <c r="A17" s="671" t="s">
        <v>339</v>
      </c>
      <c r="B17" s="671"/>
      <c r="C17" s="671"/>
      <c r="D17" s="671"/>
      <c r="E17" s="671"/>
      <c r="F17" s="321">
        <f>((1+F16)*(1+F14))-1</f>
        <v>6.4346254953084436E-2</v>
      </c>
      <c r="G17" s="672"/>
      <c r="H17" s="317"/>
      <c r="I17" s="318">
        <v>2015</v>
      </c>
      <c r="J17" s="238">
        <v>1.3788916411676138E-2</v>
      </c>
      <c r="K17" s="238">
        <v>1.2842996709792224E-2</v>
      </c>
      <c r="L17" s="238">
        <v>1.1862999999999999E-3</v>
      </c>
      <c r="M17" s="238">
        <v>6.7699999999999996E-2</v>
      </c>
      <c r="N17" s="238">
        <v>3.2099999999999997E-2</v>
      </c>
      <c r="O17" s="319"/>
    </row>
    <row r="18" spans="1:15">
      <c r="A18" s="267"/>
      <c r="B18" s="310"/>
      <c r="C18" s="310"/>
      <c r="D18" s="310"/>
      <c r="E18" s="310"/>
      <c r="F18" s="310"/>
      <c r="G18" s="310"/>
      <c r="H18" s="310"/>
      <c r="I18" s="318">
        <v>2016</v>
      </c>
      <c r="J18" s="238">
        <v>0.11773080874798171</v>
      </c>
      <c r="K18" s="238">
        <v>6.9055046987477921E-3</v>
      </c>
      <c r="L18" s="238">
        <v>1.26158E-2</v>
      </c>
      <c r="M18" s="238">
        <v>5.7500000000000002E-2</v>
      </c>
      <c r="N18" s="238">
        <v>2.2700000000000001E-2</v>
      </c>
      <c r="O18" s="319"/>
    </row>
    <row r="19" spans="1:15">
      <c r="A19" s="677" t="s">
        <v>340</v>
      </c>
      <c r="B19" s="677"/>
      <c r="C19" s="677"/>
      <c r="D19" s="677"/>
      <c r="E19" s="677"/>
      <c r="F19" s="428">
        <f>AVERAGE(N12:N21)</f>
        <v>1.9550000000000001E-2</v>
      </c>
      <c r="G19" s="678" t="s">
        <v>341</v>
      </c>
      <c r="H19" s="310"/>
      <c r="I19" s="318">
        <v>2017</v>
      </c>
      <c r="J19" s="238">
        <v>0.2160548143449928</v>
      </c>
      <c r="K19" s="238">
        <v>2.8017162707789457E-2</v>
      </c>
      <c r="L19" s="238">
        <v>2.1301100000000003E-2</v>
      </c>
      <c r="M19" s="238">
        <v>4.0899999999999999E-2</v>
      </c>
      <c r="N19" s="238">
        <v>1.7399999999999999E-2</v>
      </c>
      <c r="O19" s="319"/>
    </row>
    <row r="20" spans="1:15">
      <c r="A20" s="679"/>
      <c r="B20" s="680"/>
      <c r="C20" s="680"/>
      <c r="D20" s="680"/>
      <c r="E20" s="680"/>
      <c r="F20" s="681"/>
      <c r="G20" s="678"/>
      <c r="H20" s="310"/>
      <c r="I20" s="318">
        <v>2018</v>
      </c>
      <c r="J20" s="238">
        <v>-4.2268692890885438E-2</v>
      </c>
      <c r="K20" s="238">
        <v>-1.6692385713402633E-4</v>
      </c>
      <c r="L20" s="238">
        <v>2.4425800000000001E-2</v>
      </c>
      <c r="M20" s="238">
        <v>3.1800000000000002E-2</v>
      </c>
      <c r="N20" s="238">
        <v>2.3099999999999999E-2</v>
      </c>
      <c r="O20" s="319"/>
    </row>
    <row r="21" spans="1:15">
      <c r="A21" s="267"/>
      <c r="B21" s="310"/>
      <c r="C21" s="310"/>
      <c r="D21" s="310"/>
      <c r="E21" s="310"/>
      <c r="F21" s="310"/>
      <c r="G21" s="310"/>
      <c r="H21" s="310"/>
      <c r="I21" s="318">
        <v>2019</v>
      </c>
      <c r="J21" s="238">
        <v>0.31223647206653782</v>
      </c>
      <c r="K21" s="238">
        <v>9.6356307415483927E-2</v>
      </c>
      <c r="L21" s="238">
        <v>2.29E-2</v>
      </c>
      <c r="M21" s="238">
        <v>3.7999999999999999E-2</v>
      </c>
      <c r="N21" s="238">
        <v>1.61E-2</v>
      </c>
      <c r="O21" s="319"/>
    </row>
    <row r="22" spans="1:15" ht="18">
      <c r="A22" s="682" t="s">
        <v>342</v>
      </c>
      <c r="B22" s="682"/>
      <c r="C22" s="682"/>
      <c r="D22" s="682"/>
      <c r="E22" s="682"/>
      <c r="F22" s="316">
        <f>AVERAGE(J12:J21)</f>
        <v>0.14023379162969576</v>
      </c>
      <c r="G22" s="683" t="s">
        <v>343</v>
      </c>
      <c r="I22" s="429"/>
      <c r="J22" s="430"/>
      <c r="K22" s="430"/>
      <c r="L22" s="430"/>
      <c r="M22" s="430"/>
      <c r="N22" s="430"/>
      <c r="O22" s="319"/>
    </row>
    <row r="23" spans="1:15">
      <c r="A23" s="684" t="s">
        <v>336</v>
      </c>
      <c r="B23" s="684"/>
      <c r="C23" s="684"/>
      <c r="D23" s="684"/>
      <c r="E23" s="684"/>
      <c r="F23" s="316">
        <f>+F13</f>
        <v>1.8196170000000001E-2</v>
      </c>
      <c r="G23" s="683"/>
      <c r="I23" s="310"/>
    </row>
    <row r="24" spans="1:15">
      <c r="A24" s="685" t="s">
        <v>344</v>
      </c>
      <c r="B24" s="685"/>
      <c r="C24" s="685"/>
      <c r="D24" s="685"/>
      <c r="E24" s="685"/>
      <c r="F24" s="320">
        <f>+((1+F22)/(1+F23))-1</f>
        <v>0.11985668894206891</v>
      </c>
      <c r="G24" s="683"/>
    </row>
    <row r="25" spans="1:15">
      <c r="G25" s="683"/>
    </row>
    <row r="26" spans="1:15">
      <c r="A26" s="684" t="s">
        <v>338</v>
      </c>
      <c r="B26" s="684"/>
      <c r="C26" s="684"/>
      <c r="D26" s="684"/>
      <c r="E26" s="684"/>
      <c r="F26" s="316">
        <f>+F16</f>
        <v>3.8529999999999995E-2</v>
      </c>
      <c r="G26" s="683"/>
    </row>
    <row r="27" spans="1:15">
      <c r="A27" s="685" t="s">
        <v>345</v>
      </c>
      <c r="B27" s="685"/>
      <c r="C27" s="685"/>
      <c r="D27" s="685"/>
      <c r="E27" s="685"/>
      <c r="F27" s="321">
        <f>+((1+F26)*(1+F24))-1</f>
        <v>0.16300476716700674</v>
      </c>
      <c r="G27" s="683"/>
    </row>
    <row r="29" spans="1:15" ht="18">
      <c r="A29" s="674" t="s">
        <v>346</v>
      </c>
      <c r="B29" s="674"/>
      <c r="C29" s="674"/>
      <c r="D29" s="674"/>
      <c r="E29" s="674"/>
      <c r="F29" s="322">
        <f>+F27-F17</f>
        <v>9.86585122139223E-2</v>
      </c>
    </row>
    <row r="32" spans="1:15">
      <c r="A32" s="528" t="s">
        <v>347</v>
      </c>
      <c r="B32" s="528"/>
      <c r="C32" s="528"/>
      <c r="D32" s="528"/>
      <c r="E32" s="528"/>
      <c r="F32" s="175">
        <f>+'Valoración Sin Estrategia'!F32</f>
        <v>1.22</v>
      </c>
      <c r="G32" s="323" t="s">
        <v>348</v>
      </c>
    </row>
    <row r="34" spans="1:11">
      <c r="F34" s="235">
        <f>'Estrategias Operativas'!E12</f>
        <v>2021</v>
      </c>
      <c r="G34" s="235">
        <f>'Estrategias Operativas'!F12</f>
        <v>2022</v>
      </c>
      <c r="H34" s="235">
        <f>'Estrategias Operativas'!G12</f>
        <v>2023</v>
      </c>
      <c r="I34" s="235">
        <f>'Estrategias Operativas'!H12</f>
        <v>2024</v>
      </c>
      <c r="J34" s="235">
        <f>'Estrategias Operativas'!I12</f>
        <v>2025</v>
      </c>
    </row>
    <row r="35" spans="1:11">
      <c r="A35" s="794" t="s">
        <v>349</v>
      </c>
      <c r="B35" s="794"/>
      <c r="C35" s="794"/>
      <c r="D35" s="794"/>
      <c r="E35" s="794"/>
      <c r="F35" s="287">
        <f>+'Estados Finan + Estrategia'!J62+'Estados Finan + Estrategia'!J69</f>
        <v>9976127172.5499992</v>
      </c>
      <c r="G35" s="287">
        <f>+'Estados Finan + Estrategia'!K62+'Estados Finan + Estrategia'!K69</f>
        <v>10626838024.408484</v>
      </c>
      <c r="H35" s="287">
        <f>+'Estados Finan + Estrategia'!L62+'Estados Finan + Estrategia'!L69</f>
        <v>11488306474.518847</v>
      </c>
      <c r="I35" s="287">
        <f>+'Estados Finan + Estrategia'!M62+'Estados Finan + Estrategia'!M69</f>
        <v>12694217777.916193</v>
      </c>
      <c r="J35" s="287">
        <f>+'Estados Finan + Estrategia'!N62+'Estados Finan + Estrategia'!N69</f>
        <v>14169164019.219389</v>
      </c>
      <c r="K35" s="2" t="s">
        <v>350</v>
      </c>
    </row>
    <row r="36" spans="1:11">
      <c r="A36" s="794" t="s">
        <v>351</v>
      </c>
      <c r="B36" s="794"/>
      <c r="C36" s="794"/>
      <c r="D36" s="794"/>
      <c r="E36" s="794"/>
      <c r="F36" s="287">
        <f>+'Estados Finan + Estrategia'!J84</f>
        <v>10580415189.619999</v>
      </c>
      <c r="G36" s="287">
        <f>+'Estados Finan + Estrategia'!K84</f>
        <v>11270541814.172913</v>
      </c>
      <c r="H36" s="287">
        <f>+'Estados Finan + Estrategia'!L84</f>
        <v>12184192343.733873</v>
      </c>
      <c r="I36" s="287">
        <f>+'Estados Finan + Estrategia'!M84</f>
        <v>13463149803.883915</v>
      </c>
      <c r="J36" s="287">
        <f>+'Estados Finan + Estrategia'!N84</f>
        <v>15027438564.857117</v>
      </c>
      <c r="K36" s="2" t="s">
        <v>352</v>
      </c>
    </row>
    <row r="37" spans="1:11">
      <c r="A37" s="794" t="s">
        <v>353</v>
      </c>
      <c r="B37" s="794"/>
      <c r="C37" s="794"/>
      <c r="D37" s="794"/>
      <c r="E37" s="794"/>
      <c r="F37" s="324">
        <f>+$F$32*(1+(1-('Estados Finan + Estrategia'!K105/'Estados Finan + Estrategia'!K104))*(F35/F36))</f>
        <v>1.9692208540422422</v>
      </c>
      <c r="G37" s="324">
        <f>+$F$32*(1+(1-('Estados Finan + Estrategia'!L105/'Estados Finan + Estrategia'!L104))*(G35/G36))</f>
        <v>2.0424535765253244</v>
      </c>
      <c r="H37" s="324">
        <f>+$F$32*(1+(1-('Estados Finan + Estrategia'!M105/'Estados Finan + Estrategia'!M104))*(H35/H36))</f>
        <v>2.1085516973305953</v>
      </c>
      <c r="I37" s="324">
        <f>+$F$32*(1+(1-('Estados Finan + Estrategia'!N105/'Estados Finan + Estrategia'!N104))*(I35/I36))</f>
        <v>2.1411664930407035</v>
      </c>
      <c r="J37" s="324">
        <f>+$F$32*(1+(1-('Estados Finan + Estrategia'!O105/'Estados Finan + Estrategia'!O104))*(J35/J36))</f>
        <v>2.1762780708698553</v>
      </c>
      <c r="K37" s="2" t="s">
        <v>354</v>
      </c>
    </row>
    <row r="39" spans="1:11" ht="18">
      <c r="A39" s="795" t="s">
        <v>355</v>
      </c>
      <c r="B39" s="795"/>
      <c r="C39" s="795"/>
      <c r="D39" s="795"/>
      <c r="E39" s="795"/>
      <c r="F39" s="182">
        <f>+$F$17+($F$27-$F$17)*F37+$F$19</f>
        <v>0.27817665463352154</v>
      </c>
      <c r="G39" s="182">
        <f t="shared" ref="G39:J39" si="0">+$F$17+($F$27-$F$17)*G37+$F$19</f>
        <v>0.28540168607907745</v>
      </c>
      <c r="H39" s="182">
        <f t="shared" si="0"/>
        <v>0.2919228283378616</v>
      </c>
      <c r="I39" s="182">
        <f t="shared" si="0"/>
        <v>0.29514055555878188</v>
      </c>
      <c r="J39" s="182">
        <f t="shared" si="0"/>
        <v>0.29860461158888935</v>
      </c>
    </row>
    <row r="42" spans="1:11">
      <c r="A42" s="803" t="s">
        <v>356</v>
      </c>
      <c r="B42" s="804"/>
      <c r="C42" s="804"/>
      <c r="D42" s="804"/>
      <c r="E42" s="805"/>
      <c r="F42" s="160">
        <f>+F35/(F35+F36)</f>
        <v>0.48530180790077654</v>
      </c>
      <c r="G42" s="160">
        <f t="shared" ref="G42:J42" si="1">+G35/(G35+G36)</f>
        <v>0.48530180792155148</v>
      </c>
      <c r="H42" s="160">
        <f t="shared" si="1"/>
        <v>0.48530180792155192</v>
      </c>
      <c r="I42" s="160">
        <f t="shared" si="1"/>
        <v>0.4853018079215522</v>
      </c>
      <c r="J42" s="160">
        <f t="shared" si="1"/>
        <v>0.48530180792155209</v>
      </c>
    </row>
    <row r="43" spans="1:11">
      <c r="A43" s="803" t="s">
        <v>357</v>
      </c>
      <c r="B43" s="804"/>
      <c r="C43" s="804"/>
      <c r="D43" s="804"/>
      <c r="E43" s="805"/>
      <c r="F43" s="160">
        <f>+F36/(F35+F36)</f>
        <v>0.51469819209922352</v>
      </c>
      <c r="G43" s="160">
        <f t="shared" ref="G43:J43" si="2">+G36/(G35+G36)</f>
        <v>0.51469819207844847</v>
      </c>
      <c r="H43" s="160">
        <f t="shared" si="2"/>
        <v>0.51469819207844802</v>
      </c>
      <c r="I43" s="160">
        <f t="shared" si="2"/>
        <v>0.51469819207844769</v>
      </c>
      <c r="J43" s="160">
        <f t="shared" si="2"/>
        <v>0.5146981920784478</v>
      </c>
    </row>
    <row r="44" spans="1:11">
      <c r="A44" s="806" t="s">
        <v>358</v>
      </c>
      <c r="B44" s="807"/>
      <c r="C44" s="807"/>
      <c r="D44" s="807"/>
      <c r="E44" s="808"/>
      <c r="F44" s="182">
        <f>+F42+F43</f>
        <v>1</v>
      </c>
      <c r="G44" s="182">
        <f t="shared" ref="G44:J44" si="3">+G42+G43</f>
        <v>1</v>
      </c>
      <c r="H44" s="182">
        <f t="shared" si="3"/>
        <v>1</v>
      </c>
      <c r="I44" s="182">
        <f t="shared" si="3"/>
        <v>0.99999999999999989</v>
      </c>
      <c r="J44" s="182">
        <f t="shared" si="3"/>
        <v>0.99999999999999989</v>
      </c>
    </row>
    <row r="46" spans="1:11">
      <c r="A46" s="794" t="s">
        <v>359</v>
      </c>
      <c r="B46" s="794"/>
      <c r="C46" s="794"/>
      <c r="D46" s="794"/>
      <c r="E46" s="794"/>
      <c r="F46" s="161">
        <f>+'Estados Finan + Estrategia'!X21*(1-('Estados Finan + Estrategia'!K105/'Estados Finan + Estrategia'!K104))</f>
        <v>6.0572250343601301E-2</v>
      </c>
      <c r="G46" s="161">
        <f>+'Estados Finan + Estrategia'!Y21*(1-('Estados Finan + Estrategia'!L105/'Estados Finan + Estrategia'!L104))</f>
        <v>5.9629112708649568E-2</v>
      </c>
      <c r="H46" s="161">
        <f>+'Estados Finan + Estrategia'!Z21*(1-('Estados Finan + Estrategia'!M105/'Estados Finan + Estrategia'!M104))</f>
        <v>5.8875220695861825E-2</v>
      </c>
      <c r="I46" s="161">
        <f>+'Estados Finan + Estrategia'!AA21*(1-('Estados Finan + Estrategia'!N105/'Estados Finan + Estrategia'!N104))</f>
        <v>5.0270438648869292E-2</v>
      </c>
      <c r="J46" s="161">
        <f>+'Estados Finan + Estrategia'!AB21*(1-('Estados Finan + Estrategia'!O105/'Estados Finan + Estrategia'!O104))</f>
        <v>4.4650540524383026E-2</v>
      </c>
      <c r="K46" s="2" t="s">
        <v>360</v>
      </c>
    </row>
    <row r="47" spans="1:11">
      <c r="F47" s="118"/>
      <c r="G47" s="118"/>
      <c r="H47" s="118"/>
      <c r="I47" s="118"/>
      <c r="J47" s="118"/>
    </row>
    <row r="48" spans="1:11">
      <c r="A48" s="794" t="s">
        <v>361</v>
      </c>
      <c r="B48" s="794"/>
      <c r="C48" s="794"/>
      <c r="D48" s="794"/>
      <c r="E48" s="794"/>
      <c r="F48" s="160">
        <f>+F42*F46</f>
        <v>2.9395822600368146E-2</v>
      </c>
      <c r="G48" s="160">
        <f t="shared" ref="G48:J48" si="4">+G42*G46</f>
        <v>2.8938116202265596E-2</v>
      </c>
      <c r="H48" s="160">
        <f t="shared" si="4"/>
        <v>2.8572251045482115E-2</v>
      </c>
      <c r="I48" s="160">
        <f t="shared" si="4"/>
        <v>2.4396334761305739E-2</v>
      </c>
      <c r="J48" s="160">
        <f t="shared" si="4"/>
        <v>2.1668988041157609E-2</v>
      </c>
    </row>
    <row r="49" spans="1:17">
      <c r="A49" s="794" t="s">
        <v>362</v>
      </c>
      <c r="B49" s="794"/>
      <c r="C49" s="794"/>
      <c r="D49" s="794"/>
      <c r="E49" s="794"/>
      <c r="F49" s="160">
        <f>+F43*F39</f>
        <v>0.14317702122408363</v>
      </c>
      <c r="G49" s="160">
        <f t="shared" ref="G49:J49" si="5">+G43*G39</f>
        <v>0.14689573184104207</v>
      </c>
      <c r="H49" s="160">
        <f t="shared" si="5"/>
        <v>0.15025215197192449</v>
      </c>
      <c r="I49" s="160">
        <f t="shared" si="5"/>
        <v>0.15190831035513369</v>
      </c>
      <c r="J49" s="160">
        <f t="shared" si="5"/>
        <v>0.15369125373108847</v>
      </c>
    </row>
    <row r="51" spans="1:17">
      <c r="A51" s="796" t="s">
        <v>363</v>
      </c>
      <c r="B51" s="796"/>
      <c r="C51" s="796"/>
      <c r="D51" s="796"/>
      <c r="E51" s="796"/>
      <c r="F51" s="161">
        <f>+F49+F48</f>
        <v>0.17257284382445176</v>
      </c>
      <c r="G51" s="161">
        <f>+G49+G48</f>
        <v>0.17583384804330768</v>
      </c>
      <c r="H51" s="161">
        <f>+H49+H48</f>
        <v>0.1788244030174066</v>
      </c>
      <c r="I51" s="161">
        <f>+I49+I48</f>
        <v>0.17630464511643942</v>
      </c>
      <c r="J51" s="161">
        <f>+J49+J48</f>
        <v>0.17536024177224607</v>
      </c>
    </row>
    <row r="52" spans="1:17" ht="15.75" thickBot="1">
      <c r="A52" s="194"/>
      <c r="B52" s="194"/>
      <c r="C52" s="194"/>
      <c r="D52" s="194"/>
      <c r="E52" s="194"/>
      <c r="F52" s="196"/>
      <c r="G52" s="196"/>
      <c r="H52" s="196"/>
      <c r="I52" s="196"/>
      <c r="J52" s="196"/>
    </row>
    <row r="53" spans="1:17" ht="15" customHeight="1">
      <c r="A53" s="627" t="s">
        <v>458</v>
      </c>
      <c r="B53" s="628"/>
      <c r="C53" s="628"/>
      <c r="D53" s="628"/>
      <c r="E53" s="628"/>
      <c r="F53" s="628"/>
      <c r="G53" s="628"/>
      <c r="H53" s="628"/>
      <c r="I53" s="628"/>
      <c r="J53" s="629"/>
      <c r="K53" s="325"/>
      <c r="L53" s="325"/>
      <c r="M53" s="325"/>
      <c r="N53" s="325"/>
      <c r="O53" s="325"/>
      <c r="P53" s="325"/>
      <c r="Q53" s="325"/>
    </row>
    <row r="54" spans="1:17" ht="15.75" customHeight="1" thickBot="1">
      <c r="A54" s="630"/>
      <c r="B54" s="631"/>
      <c r="C54" s="631"/>
      <c r="D54" s="631"/>
      <c r="E54" s="631"/>
      <c r="F54" s="631"/>
      <c r="G54" s="631"/>
      <c r="H54" s="631"/>
      <c r="I54" s="631"/>
      <c r="J54" s="632"/>
      <c r="K54" s="325"/>
      <c r="L54" s="325"/>
      <c r="M54" s="325"/>
      <c r="N54" s="325"/>
      <c r="O54" s="325"/>
      <c r="P54" s="325"/>
      <c r="Q54" s="325"/>
    </row>
    <row r="55" spans="1:17" ht="15.75" thickBot="1"/>
    <row r="56" spans="1:17">
      <c r="A56" s="326"/>
      <c r="B56" s="797"/>
      <c r="C56" s="798"/>
      <c r="D56" s="798"/>
      <c r="E56" s="799"/>
      <c r="F56" s="288">
        <f>F34</f>
        <v>2021</v>
      </c>
      <c r="G56" s="288">
        <f>G34</f>
        <v>2022</v>
      </c>
      <c r="H56" s="288">
        <f>H34</f>
        <v>2023</v>
      </c>
      <c r="I56" s="288">
        <f>I34</f>
        <v>2024</v>
      </c>
      <c r="J56" s="288">
        <f>J34</f>
        <v>2025</v>
      </c>
      <c r="K56" s="327"/>
    </row>
    <row r="57" spans="1:17">
      <c r="A57" s="328"/>
      <c r="B57" s="800" t="s">
        <v>365</v>
      </c>
      <c r="C57" s="801"/>
      <c r="D57" s="801"/>
      <c r="E57" s="802"/>
      <c r="F57" s="431">
        <f>+'Estados Finan + Estrategia'!K106</f>
        <v>3839598507.5832357</v>
      </c>
      <c r="G57" s="431">
        <f>+'Estados Finan + Estrategia'!L106</f>
        <v>5574344731.0895863</v>
      </c>
      <c r="H57" s="431">
        <f>+'Estados Finan + Estrategia'!M106</f>
        <v>8334788247.0489683</v>
      </c>
      <c r="I57" s="431">
        <f>+'Estados Finan + Estrategia'!N106</f>
        <v>11017386049.216949</v>
      </c>
      <c r="J57" s="431">
        <f>+'Estados Finan + Estrategia'!O106</f>
        <v>15148179720.641068</v>
      </c>
      <c r="K57" s="327"/>
    </row>
    <row r="58" spans="1:17">
      <c r="A58" s="330"/>
      <c r="B58" s="800" t="s">
        <v>366</v>
      </c>
      <c r="C58" s="801"/>
      <c r="D58" s="801"/>
      <c r="E58" s="802"/>
      <c r="F58" s="432">
        <f>+'Estados Finan + Estrategia'!K105</f>
        <v>2055554127.157464</v>
      </c>
      <c r="G58" s="432">
        <f>+'Estados Finan + Estrategia'!L105</f>
        <v>2222188362.4749694</v>
      </c>
      <c r="H58" s="432">
        <f>+'Estados Finan + Estrategia'!M105</f>
        <v>2455448336.0429049</v>
      </c>
      <c r="I58" s="432">
        <f>+'Estados Finan + Estrategia'!N105</f>
        <v>2740747860.3870649</v>
      </c>
      <c r="J58" s="432">
        <f>+'Estados Finan + Estrategia'!O105</f>
        <v>3073791207.0159292</v>
      </c>
      <c r="K58" s="332"/>
    </row>
    <row r="59" spans="1:17" ht="15.75" thickBot="1">
      <c r="A59" s="330"/>
      <c r="B59" s="800" t="s">
        <v>367</v>
      </c>
      <c r="C59" s="801"/>
      <c r="D59" s="801"/>
      <c r="E59" s="802"/>
      <c r="F59" s="433">
        <f>+'Estados Finan + Estrategia'!K102</f>
        <v>7631259945.7514648</v>
      </c>
      <c r="G59" s="433">
        <f>+'Estados Finan + Estrategia'!L102</f>
        <v>8249890780.5073881</v>
      </c>
      <c r="H59" s="433">
        <f>+'Estados Finan + Estrategia'!M102</f>
        <v>9115870162.7665215</v>
      </c>
      <c r="I59" s="433">
        <f>+'Estados Finan + Estrategia'!N102</f>
        <v>10175046763.326429</v>
      </c>
      <c r="J59" s="433">
        <f>+'Estados Finan + Estrategia'!O102</f>
        <v>11411472658.295422</v>
      </c>
      <c r="K59" s="332"/>
    </row>
    <row r="60" spans="1:17">
      <c r="A60" s="330"/>
      <c r="B60" s="824" t="s">
        <v>126</v>
      </c>
      <c r="C60" s="825"/>
      <c r="D60" s="825"/>
      <c r="E60" s="826"/>
      <c r="F60" s="434">
        <f>+F57+F58+F59</f>
        <v>13526412580.492165</v>
      </c>
      <c r="G60" s="434">
        <f t="shared" ref="G60:J60" si="6">+G57+G58+G59</f>
        <v>16046423874.071945</v>
      </c>
      <c r="H60" s="434">
        <f t="shared" si="6"/>
        <v>19906106745.858395</v>
      </c>
      <c r="I60" s="434">
        <f t="shared" si="6"/>
        <v>23933180672.930443</v>
      </c>
      <c r="J60" s="434">
        <f t="shared" si="6"/>
        <v>29633443585.952419</v>
      </c>
      <c r="K60" s="335"/>
    </row>
    <row r="61" spans="1:17">
      <c r="A61" s="330"/>
      <c r="B61" s="336"/>
      <c r="C61" s="337"/>
      <c r="D61" s="337"/>
      <c r="E61" s="337"/>
      <c r="F61" s="337"/>
      <c r="G61" s="337"/>
      <c r="H61" s="337"/>
      <c r="I61" s="337"/>
      <c r="J61" s="337"/>
      <c r="K61" s="337"/>
    </row>
    <row r="62" spans="1:17" ht="23.25" customHeight="1" thickBot="1">
      <c r="A62" s="330"/>
      <c r="B62" s="827" t="s">
        <v>368</v>
      </c>
      <c r="C62" s="828"/>
      <c r="D62" s="828"/>
      <c r="E62" s="829"/>
      <c r="F62" s="433">
        <f>+F60*('Estados Finan + Estrategia'!K105/'Estados Finan + Estrategia'!K104)</f>
        <v>4716463665.6923971</v>
      </c>
      <c r="G62" s="433">
        <f>+G60*('Estados Finan + Estrategia'!L105/'Estados Finan + Estrategia'!L104)</f>
        <v>4573593924.9377785</v>
      </c>
      <c r="H62" s="433">
        <f>+H60*('Estados Finan + Estrategia'!M105/'Estados Finan + Estrategia'!M104)</f>
        <v>4529874420.2515574</v>
      </c>
      <c r="I62" s="433">
        <f>+I60*('Estados Finan + Estrategia'!N105/'Estados Finan + Estrategia'!N104)</f>
        <v>4767711533.5970087</v>
      </c>
      <c r="J62" s="433">
        <f>+J60*('Estados Finan + Estrategia'!O105/'Estados Finan + Estrategia'!O104)</f>
        <v>4998746770.573144</v>
      </c>
      <c r="K62" s="332"/>
    </row>
    <row r="63" spans="1:17">
      <c r="A63" s="330"/>
      <c r="B63" s="809" t="s">
        <v>369</v>
      </c>
      <c r="C63" s="810"/>
      <c r="D63" s="810"/>
      <c r="E63" s="811"/>
      <c r="F63" s="435">
        <f>+F60-F62</f>
        <v>8809948914.7997665</v>
      </c>
      <c r="G63" s="435">
        <f t="shared" ref="G63:J63" si="7">+G60-G62</f>
        <v>11472829949.134167</v>
      </c>
      <c r="H63" s="435">
        <f t="shared" si="7"/>
        <v>15376232325.606838</v>
      </c>
      <c r="I63" s="435">
        <f t="shared" si="7"/>
        <v>19165469139.333435</v>
      </c>
      <c r="J63" s="435">
        <f t="shared" si="7"/>
        <v>24634696815.379276</v>
      </c>
      <c r="K63" s="335"/>
    </row>
    <row r="64" spans="1:17">
      <c r="A64" s="330"/>
      <c r="B64" s="336"/>
      <c r="C64" s="337"/>
      <c r="D64" s="337"/>
      <c r="E64" s="337"/>
      <c r="F64" s="337"/>
      <c r="G64" s="337"/>
      <c r="H64" s="337"/>
      <c r="I64" s="337"/>
      <c r="J64" s="337"/>
      <c r="K64" s="337"/>
    </row>
    <row r="65" spans="1:11">
      <c r="A65" s="330"/>
      <c r="B65" s="812" t="s">
        <v>370</v>
      </c>
      <c r="C65" s="813"/>
      <c r="D65" s="813"/>
      <c r="E65" s="814"/>
      <c r="F65" s="432">
        <f>+'Estados Finan + Estrategia'!K111</f>
        <v>482532421.9885</v>
      </c>
      <c r="G65" s="432">
        <f>+'Estados Finan + Estrategia'!L111</f>
        <v>454190970.86219996</v>
      </c>
      <c r="H65" s="432">
        <f>+'Estados Finan + Estrategia'!M111</f>
        <v>410539458.14414001</v>
      </c>
      <c r="I65" s="432">
        <f>+'Estados Finan + Estrategia'!N111</f>
        <v>383731353.79896796</v>
      </c>
      <c r="J65" s="432">
        <f>+'Estados Finan + Estrategia'!O111</f>
        <v>360517372.5587616</v>
      </c>
      <c r="K65" s="332"/>
    </row>
    <row r="66" spans="1:11">
      <c r="A66" s="330"/>
      <c r="B66" s="800" t="s">
        <v>371</v>
      </c>
      <c r="C66" s="801"/>
      <c r="D66" s="801"/>
      <c r="E66" s="802"/>
      <c r="F66" s="432">
        <f>+'Estados Finan + Estrategia'!K112</f>
        <v>187586932.09600002</v>
      </c>
      <c r="G66" s="432">
        <f>+'Estados Finan + Estrategia'!L112</f>
        <v>151653711.9032</v>
      </c>
      <c r="H66" s="432">
        <f>+'Estados Finan + Estrategia'!M112</f>
        <v>79943648.145840004</v>
      </c>
      <c r="I66" s="432">
        <f>+'Estados Finan + Estrategia'!N112</f>
        <v>90534553.561008006</v>
      </c>
      <c r="J66" s="432">
        <f>+'Estados Finan + Estrategia'!O112</f>
        <v>108375352.2732096</v>
      </c>
      <c r="K66" s="332"/>
    </row>
    <row r="67" spans="1:11">
      <c r="A67" s="330"/>
      <c r="B67" s="800" t="s">
        <v>372</v>
      </c>
      <c r="C67" s="801"/>
      <c r="D67" s="801"/>
      <c r="E67" s="802"/>
      <c r="F67" s="432"/>
      <c r="G67" s="436"/>
      <c r="H67" s="436"/>
      <c r="I67" s="436"/>
      <c r="J67" s="436"/>
      <c r="K67" s="332"/>
    </row>
    <row r="68" spans="1:11">
      <c r="A68" s="340"/>
      <c r="B68" s="809" t="s">
        <v>373</v>
      </c>
      <c r="C68" s="810"/>
      <c r="D68" s="810"/>
      <c r="E68" s="811"/>
      <c r="F68" s="435">
        <f>+F63+F65+F66+F67</f>
        <v>9480068268.8842678</v>
      </c>
      <c r="G68" s="435">
        <f t="shared" ref="G68:J68" si="8">+G63+G65+G66+G67</f>
        <v>12078674631.899567</v>
      </c>
      <c r="H68" s="435">
        <f t="shared" si="8"/>
        <v>15866715431.896818</v>
      </c>
      <c r="I68" s="435">
        <f t="shared" si="8"/>
        <v>19639735046.693413</v>
      </c>
      <c r="J68" s="435">
        <f t="shared" si="8"/>
        <v>25103589540.211246</v>
      </c>
      <c r="K68" s="335"/>
    </row>
    <row r="69" spans="1:11">
      <c r="A69" s="330"/>
      <c r="B69" s="336"/>
      <c r="C69" s="337"/>
      <c r="D69" s="337"/>
      <c r="E69" s="337"/>
      <c r="F69" s="337"/>
      <c r="G69" s="337"/>
      <c r="H69" s="337"/>
      <c r="I69" s="337"/>
      <c r="J69" s="337"/>
      <c r="K69" s="337"/>
    </row>
    <row r="70" spans="1:11">
      <c r="A70" s="330"/>
      <c r="B70" s="812" t="s">
        <v>374</v>
      </c>
      <c r="C70" s="813"/>
      <c r="D70" s="813"/>
      <c r="E70" s="814"/>
      <c r="F70" s="432">
        <f>+F76-E76</f>
        <v>-836773052.7529068</v>
      </c>
      <c r="G70" s="432">
        <f t="shared" ref="G70:J70" si="9">+G76-F76</f>
        <v>-1107794011.4112701</v>
      </c>
      <c r="H70" s="432">
        <f t="shared" si="9"/>
        <v>-1550725763.6952362</v>
      </c>
      <c r="I70" s="432">
        <f t="shared" si="9"/>
        <v>-1896687700.0079575</v>
      </c>
      <c r="J70" s="432">
        <f t="shared" si="9"/>
        <v>-2214091385.4397125</v>
      </c>
      <c r="K70" s="332"/>
    </row>
    <row r="71" spans="1:11" ht="15.75" thickBot="1">
      <c r="A71" s="330"/>
      <c r="B71" s="800" t="s">
        <v>459</v>
      </c>
      <c r="C71" s="801"/>
      <c r="D71" s="801"/>
      <c r="E71" s="802"/>
      <c r="F71" s="432">
        <f>+'Estados Finan + Estrategia'!K54-'Estados Finan + Estrategia'!J54</f>
        <v>509617905.6473093</v>
      </c>
      <c r="G71" s="432">
        <f>+'Estados Finan + Estrategia'!L54-'Estados Finan + Estrategia'!K54</f>
        <v>674677156.63969612</v>
      </c>
      <c r="H71" s="432">
        <f>+'Estados Finan + Estrategia'!M54-'Estados Finan + Estrategia'!L54</f>
        <v>944434830.1224041</v>
      </c>
      <c r="I71" s="432">
        <f>+'Estados Finan + Estrategia'!N54-'Estados Finan + Estrategia'!M54</f>
        <v>1155135206.8103752</v>
      </c>
      <c r="J71" s="432">
        <f>+'Estados Finan + Estrategia'!O54-'Estados Finan + Estrategia'!N54</f>
        <v>1348442819.7674522</v>
      </c>
      <c r="K71" s="332"/>
    </row>
    <row r="72" spans="1:11" ht="15.75" thickBot="1">
      <c r="A72" s="340"/>
      <c r="B72" s="815" t="s">
        <v>376</v>
      </c>
      <c r="C72" s="816"/>
      <c r="D72" s="816"/>
      <c r="E72" s="817"/>
      <c r="F72" s="437">
        <f>SUM(F70:F71)</f>
        <v>-327155147.1055975</v>
      </c>
      <c r="G72" s="437">
        <f t="shared" ref="G72:J72" si="10">SUM(G70:G71)</f>
        <v>-433116854.77157402</v>
      </c>
      <c r="H72" s="437">
        <f t="shared" si="10"/>
        <v>-606290933.57283211</v>
      </c>
      <c r="I72" s="437">
        <f t="shared" si="10"/>
        <v>-741552493.19758224</v>
      </c>
      <c r="J72" s="437">
        <f t="shared" si="10"/>
        <v>-865648565.67226028</v>
      </c>
      <c r="K72" s="335"/>
    </row>
    <row r="73" spans="1:11" ht="13.5" customHeight="1">
      <c r="A73" s="344"/>
      <c r="B73" s="345"/>
      <c r="C73" s="346"/>
      <c r="D73" s="346"/>
      <c r="E73" s="346"/>
      <c r="F73" s="346"/>
      <c r="G73" s="346"/>
      <c r="H73" s="346"/>
      <c r="I73" s="346"/>
      <c r="J73" s="346"/>
      <c r="K73" s="346"/>
    </row>
    <row r="74" spans="1:11" ht="18.75" thickBot="1">
      <c r="A74" s="347"/>
      <c r="B74" s="818" t="s">
        <v>377</v>
      </c>
      <c r="C74" s="819"/>
      <c r="D74" s="819"/>
      <c r="E74" s="820"/>
      <c r="F74" s="438">
        <f>+F68-F72</f>
        <v>9807223415.9898643</v>
      </c>
      <c r="G74" s="438">
        <f t="shared" ref="G74:J74" si="11">+G68-G72</f>
        <v>12511791486.671141</v>
      </c>
      <c r="H74" s="438">
        <f t="shared" si="11"/>
        <v>16473006365.46965</v>
      </c>
      <c r="I74" s="438">
        <f t="shared" si="11"/>
        <v>20381287539.890995</v>
      </c>
      <c r="J74" s="438">
        <f t="shared" si="11"/>
        <v>25969238105.883507</v>
      </c>
      <c r="K74" s="349"/>
    </row>
    <row r="75" spans="1:11">
      <c r="A75" s="1" t="s">
        <v>378</v>
      </c>
      <c r="F75" s="439"/>
      <c r="G75" s="439"/>
      <c r="H75" s="439"/>
      <c r="I75" s="439"/>
      <c r="J75" s="439"/>
    </row>
    <row r="76" spans="1:11" ht="15.75" thickBot="1">
      <c r="A76" s="821" t="s">
        <v>379</v>
      </c>
      <c r="B76" s="822"/>
      <c r="C76" s="822"/>
      <c r="D76" s="823"/>
      <c r="E76" s="348">
        <f>+'Estados Finan + Estrategia'!J47+'Estados Finan + Estrategia'!J48-'Estados Finan + Estrategia'!J63</f>
        <v>-12828669392.840012</v>
      </c>
      <c r="F76" s="348">
        <f>+'Estados Finan + Estrategia'!K47+'Estados Finan + Estrategia'!K48-'Estados Finan + Estrategia'!K63</f>
        <v>-13665442445.592918</v>
      </c>
      <c r="G76" s="348">
        <f>+'Estados Finan + Estrategia'!L47+'Estados Finan + Estrategia'!L48-'Estados Finan + Estrategia'!L63</f>
        <v>-14773236457.004189</v>
      </c>
      <c r="H76" s="348">
        <f>+'Estados Finan + Estrategia'!M47+'Estados Finan + Estrategia'!M48-'Estados Finan + Estrategia'!M63</f>
        <v>-16323962220.699425</v>
      </c>
      <c r="I76" s="348">
        <f>+'Estados Finan + Estrategia'!N47+'Estados Finan + Estrategia'!N48-'Estados Finan + Estrategia'!N63</f>
        <v>-18220649920.707382</v>
      </c>
      <c r="J76" s="348">
        <f>+'Estados Finan + Estrategia'!O47+'Estados Finan + Estrategia'!O48-'Estados Finan + Estrategia'!O63</f>
        <v>-20434741306.147095</v>
      </c>
    </row>
    <row r="77" spans="1:11">
      <c r="A77" s="627" t="s">
        <v>460</v>
      </c>
      <c r="B77" s="628"/>
      <c r="C77" s="628"/>
      <c r="D77" s="628"/>
      <c r="E77" s="628"/>
      <c r="F77" s="628"/>
      <c r="G77" s="628"/>
      <c r="H77" s="628"/>
      <c r="I77" s="628"/>
      <c r="J77" s="629"/>
    </row>
    <row r="78" spans="1:11" ht="15.75" thickBot="1">
      <c r="A78" s="630"/>
      <c r="B78" s="631"/>
      <c r="C78" s="631"/>
      <c r="D78" s="631"/>
      <c r="E78" s="631"/>
      <c r="F78" s="631"/>
      <c r="G78" s="631"/>
      <c r="H78" s="631"/>
      <c r="I78" s="631"/>
      <c r="J78" s="632"/>
    </row>
    <row r="81" spans="5:12">
      <c r="J81" s="288">
        <f>J56</f>
        <v>2025</v>
      </c>
    </row>
    <row r="82" spans="5:12">
      <c r="E82" s="440" t="s">
        <v>381</v>
      </c>
      <c r="F82" s="832" t="s">
        <v>382</v>
      </c>
      <c r="G82" s="833"/>
      <c r="H82" s="833"/>
      <c r="I82" s="833"/>
      <c r="J82" s="352">
        <f>+J74</f>
        <v>25969238105.883507</v>
      </c>
    </row>
    <row r="83" spans="5:12">
      <c r="E83" s="440" t="s">
        <v>383</v>
      </c>
      <c r="F83" s="832" t="s">
        <v>384</v>
      </c>
      <c r="G83" s="833"/>
      <c r="H83" s="833"/>
      <c r="I83" s="833"/>
      <c r="J83" s="353">
        <f>+J51</f>
        <v>0.17536024177224607</v>
      </c>
    </row>
    <row r="84" spans="5:12">
      <c r="E84" s="441" t="s">
        <v>385</v>
      </c>
      <c r="F84" s="442" t="s">
        <v>386</v>
      </c>
      <c r="G84" s="443"/>
      <c r="H84" s="444">
        <f>'Valoración Sin Estrategia'!H84</f>
        <v>3.2399999999999998E-2</v>
      </c>
      <c r="I84" s="445">
        <f>'Valoración Sin Estrategia'!I84</f>
        <v>3.1300000000000001E-2</v>
      </c>
      <c r="J84" s="358">
        <f>((1+H84)*(1+I84))-1</f>
        <v>6.4714120000000097E-2</v>
      </c>
    </row>
    <row r="85" spans="5:12" ht="15.75" thickBot="1"/>
    <row r="86" spans="5:12" ht="20.25" thickBot="1">
      <c r="E86" s="359" t="s">
        <v>387</v>
      </c>
      <c r="F86" s="830" t="s">
        <v>388</v>
      </c>
      <c r="G86" s="831"/>
      <c r="H86" s="831"/>
      <c r="I86" s="831"/>
      <c r="J86" s="360"/>
    </row>
    <row r="87" spans="5:12">
      <c r="F87" s="834" t="s">
        <v>389</v>
      </c>
      <c r="G87" s="834"/>
      <c r="H87" s="834"/>
      <c r="I87" s="834"/>
      <c r="J87" s="361">
        <f>+J82</f>
        <v>25969238105.883507</v>
      </c>
      <c r="K87" s="739" t="s">
        <v>390</v>
      </c>
      <c r="L87" s="740"/>
    </row>
    <row r="88" spans="5:12">
      <c r="F88" s="745" t="s">
        <v>391</v>
      </c>
      <c r="G88" s="746"/>
      <c r="H88" s="746"/>
      <c r="I88" s="747"/>
      <c r="J88" s="362">
        <f>+J83</f>
        <v>0.17536024177224607</v>
      </c>
      <c r="K88" s="741"/>
      <c r="L88" s="742"/>
    </row>
    <row r="89" spans="5:12" ht="15.75" thickBot="1">
      <c r="F89" s="748" t="s">
        <v>392</v>
      </c>
      <c r="G89" s="748"/>
      <c r="H89" s="748"/>
      <c r="I89" s="748"/>
      <c r="J89" s="363">
        <f>+J87/J88</f>
        <v>148090797796.75354</v>
      </c>
      <c r="K89" s="743"/>
      <c r="L89" s="744"/>
    </row>
    <row r="90" spans="5:12" ht="15.75" thickBot="1"/>
    <row r="91" spans="5:12" ht="20.25" thickBot="1">
      <c r="E91" s="364" t="s">
        <v>393</v>
      </c>
      <c r="F91" s="830" t="s">
        <v>394</v>
      </c>
      <c r="G91" s="831"/>
      <c r="H91" s="831"/>
      <c r="I91" s="831"/>
      <c r="J91" s="360"/>
    </row>
    <row r="92" spans="5:12" ht="15" customHeight="1">
      <c r="E92" s="360"/>
      <c r="F92" s="745" t="s">
        <v>389</v>
      </c>
      <c r="G92" s="746"/>
      <c r="H92" s="746"/>
      <c r="I92" s="747"/>
      <c r="J92" s="365">
        <f>+J87</f>
        <v>25969238105.883507</v>
      </c>
      <c r="K92" s="726" t="s">
        <v>395</v>
      </c>
      <c r="L92" s="727"/>
    </row>
    <row r="93" spans="5:12" ht="15" customHeight="1">
      <c r="E93" s="360"/>
      <c r="F93" s="745" t="s">
        <v>391</v>
      </c>
      <c r="G93" s="746"/>
      <c r="H93" s="746"/>
      <c r="I93" s="747"/>
      <c r="J93" s="366">
        <f>+J88</f>
        <v>0.17536024177224607</v>
      </c>
      <c r="K93" s="728"/>
      <c r="L93" s="729"/>
    </row>
    <row r="94" spans="5:12" ht="15.75" customHeight="1">
      <c r="E94" s="360"/>
      <c r="F94" s="745" t="s">
        <v>396</v>
      </c>
      <c r="G94" s="746"/>
      <c r="H94" s="746"/>
      <c r="I94" s="747"/>
      <c r="J94" s="366">
        <f>+J84</f>
        <v>6.4714120000000097E-2</v>
      </c>
      <c r="K94" s="728"/>
      <c r="L94" s="729"/>
    </row>
    <row r="95" spans="5:12" ht="15.75" thickBot="1">
      <c r="F95" s="748" t="s">
        <v>461</v>
      </c>
      <c r="G95" s="748"/>
      <c r="H95" s="748"/>
      <c r="I95" s="748"/>
      <c r="J95" s="367">
        <f>+J92*(1+J94)/(J93-J94)</f>
        <v>249894113359.80322</v>
      </c>
      <c r="K95" s="730"/>
      <c r="L95" s="731"/>
    </row>
    <row r="97" spans="1:11" ht="15.75" thickBot="1"/>
    <row r="98" spans="1:11">
      <c r="A98" s="835" t="s">
        <v>398</v>
      </c>
      <c r="B98" s="835"/>
      <c r="C98" s="835"/>
      <c r="D98" s="835"/>
      <c r="E98" s="835"/>
      <c r="F98" s="288">
        <f>F56</f>
        <v>2021</v>
      </c>
      <c r="G98" s="288">
        <f>G56</f>
        <v>2022</v>
      </c>
      <c r="H98" s="288">
        <f>H56</f>
        <v>2023</v>
      </c>
      <c r="I98" s="288">
        <f>I56</f>
        <v>2024</v>
      </c>
      <c r="J98" s="368">
        <f>J56</f>
        <v>2025</v>
      </c>
      <c r="K98" s="836" t="s">
        <v>399</v>
      </c>
    </row>
    <row r="99" spans="1:11">
      <c r="A99" s="840" t="s">
        <v>400</v>
      </c>
      <c r="B99" s="840"/>
      <c r="C99" s="840"/>
      <c r="D99" s="840"/>
      <c r="E99" s="840"/>
      <c r="F99" s="189">
        <f>+F51</f>
        <v>0.17257284382445176</v>
      </c>
      <c r="G99" s="189">
        <f t="shared" ref="G99:J99" si="12">+G51</f>
        <v>0.17583384804330768</v>
      </c>
      <c r="H99" s="189">
        <f t="shared" si="12"/>
        <v>0.1788244030174066</v>
      </c>
      <c r="I99" s="189">
        <f t="shared" si="12"/>
        <v>0.17630464511643942</v>
      </c>
      <c r="J99" s="189">
        <f t="shared" si="12"/>
        <v>0.17536024177224607</v>
      </c>
      <c r="K99" s="837"/>
    </row>
    <row r="100" spans="1:11">
      <c r="A100" s="841" t="s">
        <v>401</v>
      </c>
      <c r="B100" s="841"/>
      <c r="C100" s="841"/>
      <c r="D100" s="841"/>
      <c r="E100" s="841"/>
      <c r="F100" s="369">
        <f>+F99</f>
        <v>0.17257284382445176</v>
      </c>
      <c r="G100" s="369">
        <f>+(1+F100)*(1+G99)-1</f>
        <v>0.37875083906518969</v>
      </c>
      <c r="H100" s="369">
        <f t="shared" ref="H100:J100" si="13">+(1+G100)*(1+H99)-1</f>
        <v>0.62530513477077077</v>
      </c>
      <c r="I100" s="369">
        <f t="shared" si="13"/>
        <v>0.9118539797624583</v>
      </c>
      <c r="J100" s="369">
        <f t="shared" si="13"/>
        <v>1.2471171558868339</v>
      </c>
      <c r="K100" s="837"/>
    </row>
    <row r="101" spans="1:11">
      <c r="A101" s="370"/>
      <c r="B101" s="371"/>
      <c r="C101" s="371"/>
      <c r="D101" s="371"/>
      <c r="E101" s="371"/>
      <c r="F101" s="371"/>
      <c r="G101" s="371"/>
      <c r="H101" s="371"/>
      <c r="I101" s="371"/>
      <c r="J101" s="372"/>
      <c r="K101" s="838"/>
    </row>
    <row r="102" spans="1:11">
      <c r="A102" s="842" t="s">
        <v>402</v>
      </c>
      <c r="B102" s="842"/>
      <c r="C102" s="842"/>
      <c r="D102" s="842"/>
      <c r="E102" s="842"/>
      <c r="F102" s="398">
        <f>+F74</f>
        <v>9807223415.9898643</v>
      </c>
      <c r="G102" s="398">
        <f t="shared" ref="G102:J102" si="14">+G74</f>
        <v>12511791486.671141</v>
      </c>
      <c r="H102" s="398">
        <f t="shared" si="14"/>
        <v>16473006365.46965</v>
      </c>
      <c r="I102" s="398">
        <f t="shared" si="14"/>
        <v>20381287539.890995</v>
      </c>
      <c r="J102" s="398">
        <f t="shared" si="14"/>
        <v>25969238105.883507</v>
      </c>
      <c r="K102" s="837"/>
    </row>
    <row r="103" spans="1:11">
      <c r="A103" s="841" t="s">
        <v>403</v>
      </c>
      <c r="B103" s="841"/>
      <c r="C103" s="841"/>
      <c r="D103" s="841"/>
      <c r="E103" s="841"/>
      <c r="F103" s="446"/>
      <c r="G103" s="447"/>
      <c r="H103" s="447"/>
      <c r="I103" s="448"/>
      <c r="J103" s="375">
        <f>+J95</f>
        <v>249894113359.80322</v>
      </c>
      <c r="K103" s="837"/>
    </row>
    <row r="104" spans="1:11">
      <c r="A104" s="370"/>
      <c r="B104" s="371"/>
      <c r="C104" s="371"/>
      <c r="D104" s="371"/>
      <c r="E104" s="371"/>
      <c r="F104" s="371"/>
      <c r="G104" s="371"/>
      <c r="H104" s="371"/>
      <c r="I104" s="371"/>
      <c r="J104" s="372"/>
      <c r="K104" s="838"/>
    </row>
    <row r="105" spans="1:11">
      <c r="A105" s="842" t="s">
        <v>404</v>
      </c>
      <c r="B105" s="842"/>
      <c r="C105" s="842"/>
      <c r="D105" s="842"/>
      <c r="E105" s="842"/>
      <c r="F105" s="376">
        <f>+F102/(1+F100)</f>
        <v>8363850030.8456087</v>
      </c>
      <c r="G105" s="376">
        <f t="shared" ref="G105:J105" si="15">+G102/(1+G100)</f>
        <v>9074729916.5049229</v>
      </c>
      <c r="H105" s="376">
        <f t="shared" si="15"/>
        <v>10135331522.097828</v>
      </c>
      <c r="I105" s="376">
        <f t="shared" si="15"/>
        <v>10660483360.985186</v>
      </c>
      <c r="J105" s="376">
        <f t="shared" si="15"/>
        <v>11556690775.045345</v>
      </c>
      <c r="K105" s="837"/>
    </row>
    <row r="106" spans="1:11">
      <c r="A106" s="841" t="s">
        <v>403</v>
      </c>
      <c r="B106" s="841"/>
      <c r="C106" s="841"/>
      <c r="D106" s="841"/>
      <c r="E106" s="843"/>
      <c r="F106" s="446"/>
      <c r="G106" s="447"/>
      <c r="H106" s="447"/>
      <c r="I106" s="448"/>
      <c r="J106" s="377">
        <f>+J103/(1+J100)</f>
        <v>111206535317.9957</v>
      </c>
      <c r="K106" s="837"/>
    </row>
    <row r="107" spans="1:11">
      <c r="A107" s="378"/>
      <c r="B107" s="379"/>
      <c r="C107" s="379"/>
      <c r="D107" s="379"/>
      <c r="E107" s="379"/>
      <c r="F107" s="379"/>
      <c r="G107" s="379"/>
      <c r="H107" s="379"/>
      <c r="I107" s="379"/>
      <c r="J107" s="380"/>
      <c r="K107" s="838"/>
    </row>
    <row r="108" spans="1:11">
      <c r="A108" s="842" t="s">
        <v>405</v>
      </c>
      <c r="B108" s="842"/>
      <c r="C108" s="842"/>
      <c r="D108" s="842"/>
      <c r="E108" s="842"/>
      <c r="F108" s="381">
        <f>SUM(F105:J105)</f>
        <v>49791085605.478897</v>
      </c>
      <c r="G108" s="449"/>
      <c r="H108" s="449"/>
      <c r="I108" s="449"/>
      <c r="J108" s="449"/>
      <c r="K108" s="837"/>
    </row>
    <row r="109" spans="1:11">
      <c r="A109" s="840" t="s">
        <v>406</v>
      </c>
      <c r="B109" s="840"/>
      <c r="C109" s="840"/>
      <c r="D109" s="840"/>
      <c r="E109" s="840"/>
      <c r="F109" s="382">
        <f>+J106</f>
        <v>111206535317.9957</v>
      </c>
      <c r="K109" s="837"/>
    </row>
    <row r="110" spans="1:11">
      <c r="A110" s="845" t="s">
        <v>407</v>
      </c>
      <c r="B110" s="845"/>
      <c r="C110" s="845"/>
      <c r="D110" s="845"/>
      <c r="E110" s="845"/>
      <c r="F110" s="450">
        <f>+F109+F108</f>
        <v>160997620923.47461</v>
      </c>
      <c r="K110" s="837"/>
    </row>
    <row r="111" spans="1:11">
      <c r="K111" s="837"/>
    </row>
    <row r="112" spans="1:11">
      <c r="A112" s="846" t="s">
        <v>408</v>
      </c>
      <c r="B112" s="847"/>
      <c r="C112" s="847"/>
      <c r="D112" s="847"/>
      <c r="E112" s="848"/>
      <c r="F112" s="384">
        <f>+F110</f>
        <v>160997620923.47461</v>
      </c>
      <c r="K112" s="837"/>
    </row>
    <row r="113" spans="1:11">
      <c r="A113" s="849" t="s">
        <v>409</v>
      </c>
      <c r="B113" s="850"/>
      <c r="C113" s="850"/>
      <c r="D113" s="850"/>
      <c r="E113" s="851"/>
      <c r="F113" s="385">
        <f>+'Estados Finan + Estrategia'!J67-'Estados Finan + Estrategia'!J62</f>
        <v>59500310046.200012</v>
      </c>
      <c r="K113" s="837"/>
    </row>
    <row r="114" spans="1:11">
      <c r="A114" s="852" t="s">
        <v>410</v>
      </c>
      <c r="B114" s="852"/>
      <c r="C114" s="852"/>
      <c r="D114" s="852"/>
      <c r="E114" s="852"/>
      <c r="F114" s="385">
        <f>+'Estados Finan + Estrategia'!J45+'Estados Finan + Estrategia'!J46+'Estados Finan + Estrategia'!J47+'Estados Finan + Estrategia'!J48</f>
        <v>64625875277.690002</v>
      </c>
      <c r="K114" s="837"/>
    </row>
    <row r="115" spans="1:11">
      <c r="A115" s="852" t="s">
        <v>411</v>
      </c>
      <c r="B115" s="852"/>
      <c r="C115" s="852"/>
      <c r="D115" s="852"/>
      <c r="E115" s="852"/>
      <c r="F115" s="385">
        <f>+'Estados Finan + Estrategia'!J62+'Estados Finan + Estrategia'!J69</f>
        <v>9976127172.5499992</v>
      </c>
      <c r="K115" s="837"/>
    </row>
    <row r="116" spans="1:11">
      <c r="A116" s="853" t="s">
        <v>412</v>
      </c>
      <c r="B116" s="853"/>
      <c r="C116" s="853"/>
      <c r="D116" s="853"/>
      <c r="E116" s="853"/>
      <c r="F116" s="451">
        <f>+F112-F113+F114-F115</f>
        <v>156147058982.41461</v>
      </c>
      <c r="G116" s="387"/>
      <c r="K116" s="837"/>
    </row>
    <row r="117" spans="1:11">
      <c r="F117" s="388"/>
      <c r="K117" s="837"/>
    </row>
    <row r="118" spans="1:11">
      <c r="A118" s="840" t="s">
        <v>413</v>
      </c>
      <c r="B118" s="840"/>
      <c r="C118" s="840"/>
      <c r="D118" s="840"/>
      <c r="E118" s="840"/>
      <c r="F118" s="385">
        <f>+'Analisis Financiero'!J84</f>
        <v>10580415189.619999</v>
      </c>
      <c r="K118" s="837"/>
    </row>
    <row r="119" spans="1:11">
      <c r="A119" s="310"/>
      <c r="B119" s="310"/>
      <c r="C119" s="310"/>
      <c r="D119" s="310"/>
      <c r="E119" s="310"/>
      <c r="F119" s="310"/>
      <c r="K119" s="837"/>
    </row>
    <row r="120" spans="1:11">
      <c r="A120" s="840" t="s">
        <v>414</v>
      </c>
      <c r="B120" s="840"/>
      <c r="C120" s="840"/>
      <c r="D120" s="840"/>
      <c r="E120" s="840"/>
      <c r="F120" s="389">
        <f>+'Valoración Sin Estrategia'!F120</f>
        <v>200000</v>
      </c>
      <c r="G120" s="452" t="s">
        <v>415</v>
      </c>
      <c r="K120" s="837"/>
    </row>
    <row r="121" spans="1:11">
      <c r="A121" s="840" t="s">
        <v>416</v>
      </c>
      <c r="B121" s="840"/>
      <c r="C121" s="840"/>
      <c r="D121" s="840"/>
      <c r="E121" s="840"/>
      <c r="F121" s="391">
        <f>+F118/F120</f>
        <v>52902.075948099991</v>
      </c>
      <c r="K121" s="837"/>
    </row>
    <row r="122" spans="1:11">
      <c r="A122" s="840" t="s">
        <v>417</v>
      </c>
      <c r="B122" s="840"/>
      <c r="C122" s="840"/>
      <c r="D122" s="840"/>
      <c r="E122" s="840"/>
      <c r="F122" s="391">
        <f>+F116/F120</f>
        <v>780735.29491207306</v>
      </c>
      <c r="K122" s="837"/>
    </row>
    <row r="123" spans="1:11" ht="16.5" thickBot="1">
      <c r="A123" s="844" t="s">
        <v>418</v>
      </c>
      <c r="B123" s="844"/>
      <c r="C123" s="844"/>
      <c r="D123" s="844"/>
      <c r="E123" s="844"/>
      <c r="F123" s="453">
        <f>+F122/F121</f>
        <v>14.758122075927979</v>
      </c>
      <c r="K123" s="839"/>
    </row>
    <row r="126" spans="1:11" ht="15.75" thickBot="1"/>
    <row r="127" spans="1:11">
      <c r="A127" s="627" t="s">
        <v>462</v>
      </c>
      <c r="B127" s="628"/>
      <c r="C127" s="628"/>
      <c r="D127" s="628"/>
      <c r="E127" s="628"/>
      <c r="F127" s="628"/>
      <c r="G127" s="628"/>
      <c r="H127" s="628"/>
      <c r="I127" s="628"/>
      <c r="J127" s="629"/>
    </row>
    <row r="128" spans="1:11" ht="15.75" thickBot="1">
      <c r="A128" s="630"/>
      <c r="B128" s="631"/>
      <c r="C128" s="631"/>
      <c r="D128" s="631"/>
      <c r="E128" s="631"/>
      <c r="F128" s="631"/>
      <c r="G128" s="631"/>
      <c r="H128" s="631"/>
      <c r="I128" s="631"/>
      <c r="J128" s="632"/>
    </row>
    <row r="129" spans="1:11" ht="15.75" thickBot="1"/>
    <row r="130" spans="1:11" ht="15" customHeight="1">
      <c r="A130" s="835" t="s">
        <v>420</v>
      </c>
      <c r="B130" s="835"/>
      <c r="C130" s="835"/>
      <c r="D130" s="835"/>
      <c r="E130" s="835"/>
      <c r="F130" s="288">
        <f>F98</f>
        <v>2021</v>
      </c>
      <c r="G130" s="288">
        <f>G98</f>
        <v>2022</v>
      </c>
      <c r="H130" s="288">
        <f>H98</f>
        <v>2023</v>
      </c>
      <c r="I130" s="288">
        <f>I98</f>
        <v>2024</v>
      </c>
      <c r="J130" s="368">
        <f>J98</f>
        <v>2025</v>
      </c>
      <c r="K130" s="854" t="s">
        <v>421</v>
      </c>
    </row>
    <row r="131" spans="1:11">
      <c r="A131" s="852" t="s">
        <v>4</v>
      </c>
      <c r="B131" s="852"/>
      <c r="C131" s="852"/>
      <c r="D131" s="852"/>
      <c r="E131" s="852"/>
      <c r="F131" s="287">
        <f>+'Estados Finan + Estrategia'!K59</f>
        <v>95912979878.081818</v>
      </c>
      <c r="G131" s="287">
        <f>+'Estados Finan + Estrategia'!L59</f>
        <v>103688200120.57126</v>
      </c>
      <c r="H131" s="287">
        <f>+'Estados Finan + Estrategia'!M59</f>
        <v>114572204027.64494</v>
      </c>
      <c r="I131" s="287">
        <f>+'Estados Finan + Estrategia'!N59</f>
        <v>127884394242.49864</v>
      </c>
      <c r="J131" s="287">
        <f>+'Estados Finan + Estrategia'!O59</f>
        <v>143424330351.07297</v>
      </c>
      <c r="K131" s="855"/>
    </row>
    <row r="132" spans="1:11">
      <c r="A132" s="852" t="s">
        <v>422</v>
      </c>
      <c r="B132" s="852"/>
      <c r="C132" s="852"/>
      <c r="D132" s="852"/>
      <c r="E132" s="852"/>
      <c r="F132" s="389">
        <f>+'Estados Finan + Estrategia'!K75</f>
        <v>84642438063.908905</v>
      </c>
      <c r="G132" s="389">
        <f>+'Estados Finan + Estrategia'!L75</f>
        <v>91504007776.837387</v>
      </c>
      <c r="H132" s="389">
        <f>+'Estados Finan + Estrategia'!M75</f>
        <v>101109054223.76103</v>
      </c>
      <c r="I132" s="389">
        <f>+'Estados Finan + Estrategia'!N75</f>
        <v>112856955677.64153</v>
      </c>
      <c r="J132" s="389">
        <f>+'Estados Finan + Estrategia'!O75</f>
        <v>126570825075.28796</v>
      </c>
      <c r="K132" s="855"/>
    </row>
    <row r="133" spans="1:11">
      <c r="A133" s="852" t="s">
        <v>423</v>
      </c>
      <c r="B133" s="852"/>
      <c r="C133" s="852"/>
      <c r="D133" s="852"/>
      <c r="E133" s="852"/>
      <c r="F133" s="393">
        <f>+'Estados Finan + Estrategia'!K84</f>
        <v>11270541814.172913</v>
      </c>
      <c r="G133" s="393">
        <f>+'Estados Finan + Estrategia'!L84</f>
        <v>12184192343.733873</v>
      </c>
      <c r="H133" s="393">
        <f>+'Estados Finan + Estrategia'!M84</f>
        <v>13463149803.883915</v>
      </c>
      <c r="I133" s="393">
        <f>+'Estados Finan + Estrategia'!N84</f>
        <v>15027438564.857117</v>
      </c>
      <c r="J133" s="393">
        <f>+'Estados Finan + Estrategia'!O84</f>
        <v>16853505275.785019</v>
      </c>
      <c r="K133" s="855"/>
    </row>
    <row r="134" spans="1:11">
      <c r="A134" s="852" t="s">
        <v>424</v>
      </c>
      <c r="B134" s="852"/>
      <c r="C134" s="852"/>
      <c r="D134" s="852"/>
      <c r="E134" s="852"/>
      <c r="F134" s="394">
        <f>+F133/$F$120</f>
        <v>56352.709070864563</v>
      </c>
      <c r="G134" s="394">
        <f t="shared" ref="G134:J134" si="16">+G133/$F$120</f>
        <v>60920.961718669365</v>
      </c>
      <c r="H134" s="394">
        <f t="shared" si="16"/>
        <v>67315.749019419571</v>
      </c>
      <c r="I134" s="394">
        <f t="shared" si="16"/>
        <v>75137.192824285579</v>
      </c>
      <c r="J134" s="394">
        <f t="shared" si="16"/>
        <v>84267.526378925089</v>
      </c>
      <c r="K134" s="855"/>
    </row>
    <row r="135" spans="1:11" ht="15.75">
      <c r="A135" s="857" t="s">
        <v>418</v>
      </c>
      <c r="B135" s="858"/>
      <c r="C135" s="858"/>
      <c r="D135" s="858"/>
      <c r="E135" s="859"/>
      <c r="F135" s="453">
        <f>+F134/$F$121</f>
        <v>1.0652267999114031</v>
      </c>
      <c r="G135" s="453">
        <f t="shared" ref="G135:J135" si="17">+G134/$F$121</f>
        <v>1.1515797939278671</v>
      </c>
      <c r="H135" s="453">
        <f t="shared" si="17"/>
        <v>1.2724594982900148</v>
      </c>
      <c r="I135" s="453">
        <f t="shared" si="17"/>
        <v>1.4203070763801315</v>
      </c>
      <c r="J135" s="453">
        <f t="shared" si="17"/>
        <v>1.5928964009200022</v>
      </c>
      <c r="K135" s="855"/>
    </row>
    <row r="136" spans="1:11" ht="9" customHeight="1">
      <c r="K136" s="855"/>
    </row>
    <row r="137" spans="1:11" ht="9" customHeight="1">
      <c r="K137" s="855"/>
    </row>
    <row r="138" spans="1:11" ht="7.5" customHeight="1">
      <c r="K138" s="855"/>
    </row>
    <row r="139" spans="1:11" ht="10.5" customHeight="1">
      <c r="K139" s="855"/>
    </row>
    <row r="140" spans="1:11">
      <c r="A140" s="835" t="s">
        <v>425</v>
      </c>
      <c r="B140" s="835"/>
      <c r="C140" s="835"/>
      <c r="D140" s="835"/>
      <c r="E140" s="835"/>
      <c r="F140" s="288">
        <f>F130</f>
        <v>2021</v>
      </c>
      <c r="G140" s="288">
        <f>G130</f>
        <v>2022</v>
      </c>
      <c r="H140" s="288">
        <f>H130</f>
        <v>2023</v>
      </c>
      <c r="I140" s="288">
        <f>I130</f>
        <v>2024</v>
      </c>
      <c r="J140" s="368">
        <f>J130</f>
        <v>2025</v>
      </c>
      <c r="K140" s="855"/>
    </row>
    <row r="141" spans="1:11">
      <c r="A141" s="852" t="s">
        <v>426</v>
      </c>
      <c r="B141" s="852"/>
      <c r="C141" s="852"/>
      <c r="D141" s="852"/>
      <c r="E141" s="852"/>
      <c r="F141" s="287">
        <f>+F131</f>
        <v>95912979878.081818</v>
      </c>
      <c r="G141" s="287">
        <f t="shared" ref="G141:J141" si="18">+G131</f>
        <v>103688200120.57126</v>
      </c>
      <c r="H141" s="287">
        <f t="shared" si="18"/>
        <v>114572204027.64494</v>
      </c>
      <c r="I141" s="287">
        <f t="shared" si="18"/>
        <v>127884394242.49864</v>
      </c>
      <c r="J141" s="287">
        <f t="shared" si="18"/>
        <v>143424330351.07297</v>
      </c>
      <c r="K141" s="855"/>
    </row>
    <row r="142" spans="1:11">
      <c r="A142" s="852" t="s">
        <v>427</v>
      </c>
      <c r="B142" s="852"/>
      <c r="C142" s="852"/>
      <c r="D142" s="852"/>
      <c r="E142" s="852"/>
      <c r="F142" s="389">
        <f>+'Estados Finan + Estrategia'!K62+'Estados Finan + Estrategia'!K63+'Estados Finan + Estrategia'!K69</f>
        <v>71547882562.444748</v>
      </c>
      <c r="G142" s="389">
        <f>+'Estados Finan + Estrategia'!L62+'Estados Finan + Estrategia'!L63+'Estados Finan + Estrategia'!L69</f>
        <v>77347937419.607056</v>
      </c>
      <c r="H142" s="389">
        <f>+'Estados Finan + Estrategia'!M62+'Estados Finan + Estrategia'!M63+'Estados Finan + Estrategia'!M69</f>
        <v>85467041156.581604</v>
      </c>
      <c r="I142" s="389">
        <f>+'Estados Finan + Estrategia'!N62+'Estados Finan + Estrategia'!N63+'Estados Finan + Estrategia'!N69</f>
        <v>95397490855.381302</v>
      </c>
      <c r="J142" s="389">
        <f>+'Estados Finan + Estrategia'!O62+'Estados Finan + Estrategia'!O63+'Estados Finan + Estrategia'!O69</f>
        <v>106989764655.41838</v>
      </c>
      <c r="K142" s="855"/>
    </row>
    <row r="143" spans="1:11">
      <c r="A143" s="852" t="s">
        <v>428</v>
      </c>
      <c r="B143" s="852"/>
      <c r="C143" s="852"/>
      <c r="D143" s="852"/>
      <c r="E143" s="852"/>
      <c r="F143" s="157">
        <f>+F141-F142</f>
        <v>24365097315.63707</v>
      </c>
      <c r="G143" s="157">
        <f t="shared" ref="G143:J143" si="19">+G141-G142</f>
        <v>26340262700.964203</v>
      </c>
      <c r="H143" s="157">
        <f t="shared" si="19"/>
        <v>29105162871.063339</v>
      </c>
      <c r="I143" s="157">
        <f t="shared" si="19"/>
        <v>32486903387.11734</v>
      </c>
      <c r="J143" s="157">
        <f t="shared" si="19"/>
        <v>36434565695.654587</v>
      </c>
      <c r="K143" s="855"/>
    </row>
    <row r="144" spans="1:11">
      <c r="A144" s="852" t="s">
        <v>429</v>
      </c>
      <c r="B144" s="852"/>
      <c r="C144" s="852"/>
      <c r="D144" s="852"/>
      <c r="E144" s="852"/>
      <c r="F144" s="394">
        <f>+F143/$F$120</f>
        <v>121825.48657818534</v>
      </c>
      <c r="G144" s="394">
        <f t="shared" ref="G144:J144" si="20">+G143/$F$120</f>
        <v>131701.31350482101</v>
      </c>
      <c r="H144" s="394">
        <f t="shared" si="20"/>
        <v>145525.81435531669</v>
      </c>
      <c r="I144" s="394">
        <f t="shared" si="20"/>
        <v>162434.5169355867</v>
      </c>
      <c r="J144" s="394">
        <f t="shared" si="20"/>
        <v>182172.82847827295</v>
      </c>
      <c r="K144" s="855"/>
    </row>
    <row r="145" spans="1:11" ht="16.5" thickBot="1">
      <c r="A145" s="857" t="s">
        <v>418</v>
      </c>
      <c r="B145" s="858"/>
      <c r="C145" s="858"/>
      <c r="D145" s="858"/>
      <c r="E145" s="859"/>
      <c r="F145" s="453">
        <f>+F144/$F$121</f>
        <v>2.3028488843746553</v>
      </c>
      <c r="G145" s="453">
        <f t="shared" ref="G145:J145" si="21">+G144/$F$121</f>
        <v>2.4895301582120832</v>
      </c>
      <c r="H145" s="453">
        <f t="shared" si="21"/>
        <v>2.7508526224582561</v>
      </c>
      <c r="I145" s="453">
        <f t="shared" si="21"/>
        <v>3.0704752890027303</v>
      </c>
      <c r="J145" s="453">
        <f t="shared" si="21"/>
        <v>3.4435856289835405</v>
      </c>
      <c r="K145" s="856"/>
    </row>
    <row r="146" spans="1:11" ht="9" customHeight="1"/>
    <row r="147" spans="1:11" ht="9" customHeight="1"/>
    <row r="148" spans="1:11" ht="9.75" customHeight="1"/>
    <row r="149" spans="1:11" ht="9.75" customHeight="1"/>
    <row r="151" spans="1:11" ht="15.75" thickBot="1"/>
    <row r="152" spans="1:11">
      <c r="A152" s="627" t="s">
        <v>463</v>
      </c>
      <c r="B152" s="628"/>
      <c r="C152" s="628"/>
      <c r="D152" s="628"/>
      <c r="E152" s="628"/>
      <c r="F152" s="628"/>
      <c r="G152" s="628"/>
      <c r="H152" s="628"/>
      <c r="I152" s="628"/>
      <c r="J152" s="629"/>
    </row>
    <row r="153" spans="1:11" ht="15.75" thickBot="1">
      <c r="A153" s="630"/>
      <c r="B153" s="631"/>
      <c r="C153" s="631"/>
      <c r="D153" s="631"/>
      <c r="E153" s="631"/>
      <c r="F153" s="631"/>
      <c r="G153" s="631"/>
      <c r="H153" s="631"/>
      <c r="I153" s="631"/>
      <c r="J153" s="632"/>
    </row>
    <row r="154" spans="1:11" ht="15.75" thickBot="1"/>
    <row r="155" spans="1:11">
      <c r="A155" s="835" t="s">
        <v>398</v>
      </c>
      <c r="B155" s="835"/>
      <c r="C155" s="835"/>
      <c r="D155" s="835"/>
      <c r="E155" s="835"/>
      <c r="F155" s="288">
        <f>F140</f>
        <v>2021</v>
      </c>
      <c r="G155" s="288">
        <f>G140</f>
        <v>2022</v>
      </c>
      <c r="H155" s="288">
        <f>H140</f>
        <v>2023</v>
      </c>
      <c r="I155" s="288">
        <f>I140</f>
        <v>2024</v>
      </c>
      <c r="J155" s="368">
        <f>J140</f>
        <v>2025</v>
      </c>
      <c r="K155" s="860" t="s">
        <v>431</v>
      </c>
    </row>
    <row r="156" spans="1:11">
      <c r="A156" s="864" t="s">
        <v>126</v>
      </c>
      <c r="B156" s="864"/>
      <c r="C156" s="864"/>
      <c r="D156" s="864"/>
      <c r="E156" s="864"/>
      <c r="F156" s="395">
        <f>+F60</f>
        <v>13526412580.492165</v>
      </c>
      <c r="G156" s="395">
        <f t="shared" ref="G156:J156" si="22">+G60</f>
        <v>16046423874.071945</v>
      </c>
      <c r="H156" s="395">
        <f t="shared" si="22"/>
        <v>19906106745.858395</v>
      </c>
      <c r="I156" s="395">
        <f t="shared" si="22"/>
        <v>23933180672.930443</v>
      </c>
      <c r="J156" s="395">
        <f t="shared" si="22"/>
        <v>29633443585.952419</v>
      </c>
      <c r="K156" s="861"/>
    </row>
    <row r="157" spans="1:11">
      <c r="A157" s="611" t="s">
        <v>370</v>
      </c>
      <c r="B157" s="611"/>
      <c r="C157" s="611"/>
      <c r="D157" s="611"/>
      <c r="E157" s="611"/>
      <c r="F157" s="396">
        <f>+'Estados Finan + Estrategia'!K111</f>
        <v>482532421.9885</v>
      </c>
      <c r="G157" s="396">
        <f>+'Estados Finan + Estrategia'!L111</f>
        <v>454190970.86219996</v>
      </c>
      <c r="H157" s="396">
        <f>+'Estados Finan + Estrategia'!M111</f>
        <v>410539458.14414001</v>
      </c>
      <c r="I157" s="396">
        <f>+'Estados Finan + Estrategia'!N111</f>
        <v>383731353.79896796</v>
      </c>
      <c r="J157" s="396">
        <f>+'Estados Finan + Estrategia'!O111</f>
        <v>360517372.5587616</v>
      </c>
      <c r="K157" s="861"/>
    </row>
    <row r="158" spans="1:11">
      <c r="A158" s="611" t="s">
        <v>371</v>
      </c>
      <c r="B158" s="611"/>
      <c r="C158" s="611"/>
      <c r="D158" s="611"/>
      <c r="E158" s="611"/>
      <c r="F158" s="396">
        <f>+'Estados Finan + Estrategia'!K112</f>
        <v>187586932.09600002</v>
      </c>
      <c r="G158" s="396">
        <f>+'Estados Finan + Estrategia'!L112</f>
        <v>151653711.9032</v>
      </c>
      <c r="H158" s="396">
        <f>+'Estados Finan + Estrategia'!M112</f>
        <v>79943648.145840004</v>
      </c>
      <c r="I158" s="396">
        <f>+'Estados Finan + Estrategia'!N112</f>
        <v>90534553.561008006</v>
      </c>
      <c r="J158" s="396">
        <f>+'Estados Finan + Estrategia'!O112</f>
        <v>108375352.2732096</v>
      </c>
      <c r="K158" s="861"/>
    </row>
    <row r="159" spans="1:11">
      <c r="A159" s="864" t="s">
        <v>1</v>
      </c>
      <c r="B159" s="864"/>
      <c r="C159" s="864"/>
      <c r="D159" s="864"/>
      <c r="E159" s="864"/>
      <c r="F159" s="395">
        <f>+F156+F157+F158</f>
        <v>14196531934.576666</v>
      </c>
      <c r="G159" s="395">
        <f t="shared" ref="G159:J159" si="23">+G156+G157+G158</f>
        <v>16652268556.837345</v>
      </c>
      <c r="H159" s="395">
        <f t="shared" si="23"/>
        <v>20396589852.148373</v>
      </c>
      <c r="I159" s="395">
        <f t="shared" si="23"/>
        <v>24407446580.290421</v>
      </c>
      <c r="J159" s="395">
        <f t="shared" si="23"/>
        <v>30102336310.784389</v>
      </c>
      <c r="K159" s="861"/>
    </row>
    <row r="160" spans="1:11">
      <c r="K160" s="861"/>
    </row>
    <row r="161" spans="1:11">
      <c r="A161" s="835" t="s">
        <v>398</v>
      </c>
      <c r="B161" s="835"/>
      <c r="C161" s="835"/>
      <c r="D161" s="835"/>
      <c r="E161" s="835"/>
      <c r="F161" s="288">
        <f>F155</f>
        <v>2021</v>
      </c>
      <c r="G161" s="288">
        <f>G155</f>
        <v>2022</v>
      </c>
      <c r="H161" s="288">
        <f>H155</f>
        <v>2023</v>
      </c>
      <c r="I161" s="288">
        <f>I155</f>
        <v>2024</v>
      </c>
      <c r="J161" s="368">
        <f>J155</f>
        <v>2025</v>
      </c>
      <c r="K161" s="861"/>
    </row>
    <row r="162" spans="1:11">
      <c r="A162" s="840" t="s">
        <v>400</v>
      </c>
      <c r="B162" s="840"/>
      <c r="C162" s="840"/>
      <c r="D162" s="840"/>
      <c r="E162" s="840"/>
      <c r="F162" s="189">
        <f>+F99</f>
        <v>0.17257284382445176</v>
      </c>
      <c r="G162" s="189">
        <f t="shared" ref="G162:J163" si="24">+G99</f>
        <v>0.17583384804330768</v>
      </c>
      <c r="H162" s="189">
        <f t="shared" si="24"/>
        <v>0.1788244030174066</v>
      </c>
      <c r="I162" s="189">
        <f t="shared" si="24"/>
        <v>0.17630464511643942</v>
      </c>
      <c r="J162" s="189">
        <f t="shared" si="24"/>
        <v>0.17536024177224607</v>
      </c>
      <c r="K162" s="861"/>
    </row>
    <row r="163" spans="1:11">
      <c r="A163" s="841" t="s">
        <v>401</v>
      </c>
      <c r="B163" s="841"/>
      <c r="C163" s="841"/>
      <c r="D163" s="841"/>
      <c r="E163" s="841"/>
      <c r="F163" s="189">
        <f>+F100</f>
        <v>0.17257284382445176</v>
      </c>
      <c r="G163" s="189">
        <f t="shared" si="24"/>
        <v>0.37875083906518969</v>
      </c>
      <c r="H163" s="189">
        <f t="shared" si="24"/>
        <v>0.62530513477077077</v>
      </c>
      <c r="I163" s="189">
        <f t="shared" si="24"/>
        <v>0.9118539797624583</v>
      </c>
      <c r="J163" s="189">
        <f t="shared" si="24"/>
        <v>1.2471171558868339</v>
      </c>
      <c r="K163" s="861"/>
    </row>
    <row r="164" spans="1:11">
      <c r="A164" s="370"/>
      <c r="B164" s="371"/>
      <c r="C164" s="371"/>
      <c r="D164" s="371"/>
      <c r="E164" s="371"/>
      <c r="F164" s="371"/>
      <c r="G164" s="371"/>
      <c r="H164" s="371"/>
      <c r="I164" s="371"/>
      <c r="J164" s="372"/>
      <c r="K164" s="862"/>
    </row>
    <row r="165" spans="1:11">
      <c r="A165" s="865" t="s">
        <v>432</v>
      </c>
      <c r="B165" s="865"/>
      <c r="C165" s="865"/>
      <c r="D165" s="865"/>
      <c r="E165" s="865"/>
      <c r="F165" s="397">
        <f>+F159</f>
        <v>14196531934.576666</v>
      </c>
      <c r="G165" s="397">
        <f t="shared" ref="G165:J165" si="25">+G159</f>
        <v>16652268556.837345</v>
      </c>
      <c r="H165" s="397">
        <f t="shared" si="25"/>
        <v>20396589852.148373</v>
      </c>
      <c r="I165" s="397">
        <f t="shared" si="25"/>
        <v>24407446580.290421</v>
      </c>
      <c r="J165" s="397">
        <f t="shared" si="25"/>
        <v>30102336310.784389</v>
      </c>
      <c r="K165" s="861"/>
    </row>
    <row r="166" spans="1:11">
      <c r="A166" s="370"/>
      <c r="B166" s="371"/>
      <c r="C166" s="371"/>
      <c r="D166" s="371"/>
      <c r="E166" s="371"/>
      <c r="F166" s="371"/>
      <c r="G166" s="371"/>
      <c r="H166" s="371"/>
      <c r="I166" s="371"/>
      <c r="J166" s="372"/>
      <c r="K166" s="862"/>
    </row>
    <row r="167" spans="1:11">
      <c r="A167" s="842" t="s">
        <v>433</v>
      </c>
      <c r="B167" s="842"/>
      <c r="C167" s="842"/>
      <c r="D167" s="842"/>
      <c r="E167" s="842"/>
      <c r="F167" s="398">
        <f>+F165/(1+F163)</f>
        <v>12107164181.180761</v>
      </c>
      <c r="G167" s="398">
        <f t="shared" ref="G167:J167" si="26">+G165/(1+G163)</f>
        <v>12077793960.312504</v>
      </c>
      <c r="H167" s="398">
        <f t="shared" si="26"/>
        <v>12549391136.345028</v>
      </c>
      <c r="I167" s="398">
        <f t="shared" si="26"/>
        <v>12766375904.567234</v>
      </c>
      <c r="J167" s="398">
        <f t="shared" si="26"/>
        <v>13395979925.623585</v>
      </c>
      <c r="K167" s="861"/>
    </row>
    <row r="168" spans="1:11">
      <c r="K168" s="861"/>
    </row>
    <row r="169" spans="1:11">
      <c r="A169" s="840" t="s">
        <v>405</v>
      </c>
      <c r="B169" s="840"/>
      <c r="C169" s="840"/>
      <c r="D169" s="840"/>
      <c r="E169" s="840"/>
      <c r="F169" s="399">
        <f>SUM(F167:J167)</f>
        <v>62896705108.029099</v>
      </c>
      <c r="K169" s="861"/>
    </row>
    <row r="170" spans="1:11">
      <c r="K170" s="861"/>
    </row>
    <row r="171" spans="1:11">
      <c r="A171" s="840" t="s">
        <v>408</v>
      </c>
      <c r="B171" s="840"/>
      <c r="C171" s="840"/>
      <c r="D171" s="840"/>
      <c r="E171" s="840"/>
      <c r="F171" s="384">
        <f>+F169</f>
        <v>62896705108.029099</v>
      </c>
      <c r="K171" s="861"/>
    </row>
    <row r="172" spans="1:11">
      <c r="A172" s="852" t="s">
        <v>409</v>
      </c>
      <c r="B172" s="852"/>
      <c r="C172" s="852"/>
      <c r="D172" s="852"/>
      <c r="E172" s="852"/>
      <c r="F172" s="385">
        <f>+F113</f>
        <v>59500310046.200012</v>
      </c>
      <c r="K172" s="861"/>
    </row>
    <row r="173" spans="1:11">
      <c r="A173" s="852" t="s">
        <v>410</v>
      </c>
      <c r="B173" s="852"/>
      <c r="C173" s="852"/>
      <c r="D173" s="852"/>
      <c r="E173" s="852"/>
      <c r="F173" s="385">
        <f t="shared" ref="F173:F174" si="27">+F114</f>
        <v>64625875277.690002</v>
      </c>
      <c r="K173" s="861"/>
    </row>
    <row r="174" spans="1:11">
      <c r="A174" s="852" t="s">
        <v>411</v>
      </c>
      <c r="B174" s="852"/>
      <c r="C174" s="852"/>
      <c r="D174" s="852"/>
      <c r="E174" s="852"/>
      <c r="F174" s="385">
        <f t="shared" si="27"/>
        <v>9976127172.5499992</v>
      </c>
      <c r="K174" s="861"/>
    </row>
    <row r="175" spans="1:11">
      <c r="A175" s="853" t="s">
        <v>412</v>
      </c>
      <c r="B175" s="853"/>
      <c r="C175" s="853"/>
      <c r="D175" s="853"/>
      <c r="E175" s="853"/>
      <c r="F175" s="451">
        <f>+F171-F172+F173-F174</f>
        <v>58046143166.969086</v>
      </c>
      <c r="G175" s="387"/>
      <c r="K175" s="861"/>
    </row>
    <row r="176" spans="1:11">
      <c r="F176" s="388"/>
      <c r="K176" s="861"/>
    </row>
    <row r="177" spans="1:17">
      <c r="A177" s="840" t="s">
        <v>413</v>
      </c>
      <c r="B177" s="840"/>
      <c r="C177" s="840"/>
      <c r="D177" s="840"/>
      <c r="E177" s="840"/>
      <c r="F177" s="385">
        <f>+F118</f>
        <v>10580415189.619999</v>
      </c>
      <c r="K177" s="861"/>
    </row>
    <row r="178" spans="1:17">
      <c r="A178" s="310"/>
      <c r="B178" s="310"/>
      <c r="C178" s="310"/>
      <c r="D178" s="310"/>
      <c r="E178" s="310"/>
      <c r="F178" s="310"/>
      <c r="K178" s="861"/>
    </row>
    <row r="179" spans="1:17">
      <c r="A179" s="840" t="s">
        <v>414</v>
      </c>
      <c r="B179" s="840"/>
      <c r="C179" s="840"/>
      <c r="D179" s="840"/>
      <c r="E179" s="840"/>
      <c r="F179" s="389">
        <f>+F120</f>
        <v>200000</v>
      </c>
      <c r="G179" s="452" t="s">
        <v>415</v>
      </c>
      <c r="K179" s="861"/>
    </row>
    <row r="180" spans="1:17">
      <c r="A180" s="840" t="s">
        <v>416</v>
      </c>
      <c r="B180" s="840"/>
      <c r="C180" s="840"/>
      <c r="D180" s="840"/>
      <c r="E180" s="840"/>
      <c r="F180" s="391">
        <f>+F177/F179</f>
        <v>52902.075948099991</v>
      </c>
      <c r="K180" s="861"/>
    </row>
    <row r="181" spans="1:17">
      <c r="A181" s="840" t="s">
        <v>417</v>
      </c>
      <c r="B181" s="840"/>
      <c r="C181" s="840"/>
      <c r="D181" s="840"/>
      <c r="E181" s="840"/>
      <c r="F181" s="391">
        <f>+F175/F179</f>
        <v>290230.71583484544</v>
      </c>
      <c r="K181" s="861"/>
    </row>
    <row r="182" spans="1:17" ht="16.5" thickBot="1">
      <c r="A182" s="844" t="s">
        <v>418</v>
      </c>
      <c r="B182" s="844"/>
      <c r="C182" s="844"/>
      <c r="D182" s="844"/>
      <c r="E182" s="844"/>
      <c r="F182" s="453">
        <f>+F181/F180</f>
        <v>5.4861876520607362</v>
      </c>
      <c r="G182" s="400"/>
      <c r="K182" s="863"/>
    </row>
    <row r="186" spans="1:17" ht="15.75" thickBot="1"/>
    <row r="187" spans="1:17" ht="15" customHeight="1">
      <c r="A187" s="627" t="s">
        <v>464</v>
      </c>
      <c r="B187" s="628"/>
      <c r="C187" s="628"/>
      <c r="D187" s="628"/>
      <c r="E187" s="628"/>
      <c r="F187" s="628"/>
      <c r="G187" s="628"/>
      <c r="H187" s="628"/>
      <c r="I187" s="628"/>
      <c r="J187" s="628"/>
      <c r="K187" s="629"/>
    </row>
    <row r="188" spans="1:17" ht="15" customHeight="1" thickBot="1">
      <c r="A188" s="630"/>
      <c r="B188" s="631"/>
      <c r="C188" s="631"/>
      <c r="D188" s="631"/>
      <c r="E188" s="631"/>
      <c r="F188" s="631"/>
      <c r="G188" s="631"/>
      <c r="H188" s="631"/>
      <c r="I188" s="631"/>
      <c r="J188" s="631"/>
      <c r="K188" s="632"/>
    </row>
    <row r="189" spans="1:17" ht="30">
      <c r="A189" s="873" t="s">
        <v>436</v>
      </c>
      <c r="B189" s="873"/>
      <c r="C189" s="873"/>
      <c r="D189" s="873"/>
      <c r="E189" s="873"/>
      <c r="F189" s="454" t="s">
        <v>437</v>
      </c>
      <c r="G189" s="454" t="s">
        <v>438</v>
      </c>
      <c r="H189" s="454" t="s">
        <v>439</v>
      </c>
      <c r="I189" s="455" t="s">
        <v>418</v>
      </c>
      <c r="J189" s="454" t="s">
        <v>440</v>
      </c>
      <c r="K189" s="454" t="s">
        <v>441</v>
      </c>
      <c r="O189" s="456" t="s">
        <v>442</v>
      </c>
      <c r="P189" s="456" t="s">
        <v>443</v>
      </c>
      <c r="Q189" s="456" t="s">
        <v>436</v>
      </c>
    </row>
    <row r="190" spans="1:17">
      <c r="A190" s="840" t="s">
        <v>444</v>
      </c>
      <c r="B190" s="840"/>
      <c r="C190" s="840"/>
      <c r="D190" s="840"/>
      <c r="E190" s="840"/>
      <c r="F190" s="287">
        <f>+J133</f>
        <v>16853505275.785019</v>
      </c>
      <c r="G190" s="287">
        <f>+F177</f>
        <v>10580415189.619999</v>
      </c>
      <c r="H190" s="287">
        <f>+F190-G190</f>
        <v>6273090086.16502</v>
      </c>
      <c r="I190" s="411">
        <f t="shared" ref="I190:I191" si="28">+F190/G190</f>
        <v>1.5928964009200022</v>
      </c>
      <c r="J190" s="411">
        <f>+'Valoración Sin Estrategia'!J190</f>
        <v>4.8499999999999996</v>
      </c>
      <c r="K190" s="457">
        <f>+I190-J190</f>
        <v>-3.2571035990799975</v>
      </c>
      <c r="O190" s="175" t="s">
        <v>445</v>
      </c>
      <c r="P190" s="409">
        <f>+AVERAGE(F192:F193)</f>
        <v>107096601074.69185</v>
      </c>
      <c r="Q190" s="188" t="s">
        <v>446</v>
      </c>
    </row>
    <row r="191" spans="1:17" ht="15.75" thickBot="1">
      <c r="A191" s="840" t="s">
        <v>447</v>
      </c>
      <c r="B191" s="840"/>
      <c r="C191" s="840"/>
      <c r="D191" s="840"/>
      <c r="E191" s="840"/>
      <c r="F191" s="287">
        <f>+J143</f>
        <v>36434565695.654587</v>
      </c>
      <c r="G191" s="287">
        <f>+G190</f>
        <v>10580415189.619999</v>
      </c>
      <c r="H191" s="287">
        <f t="shared" ref="H191:H193" si="29">+F191-G191</f>
        <v>25854150506.034588</v>
      </c>
      <c r="I191" s="411">
        <f t="shared" si="28"/>
        <v>3.44358562898354</v>
      </c>
      <c r="J191" s="411">
        <f>+'Valoración Sin Estrategia'!J191</f>
        <v>4.8499999999999996</v>
      </c>
      <c r="K191" s="457">
        <f t="shared" ref="K191:K193" si="30">+I191-J191</f>
        <v>-1.4064143710164596</v>
      </c>
      <c r="O191" s="175" t="s">
        <v>448</v>
      </c>
      <c r="P191" s="287">
        <f>+L192</f>
        <v>66870318280.205826</v>
      </c>
      <c r="Q191" s="188" t="s">
        <v>2</v>
      </c>
    </row>
    <row r="192" spans="1:17" ht="16.5" thickBot="1">
      <c r="A192" s="840" t="s">
        <v>1</v>
      </c>
      <c r="B192" s="840"/>
      <c r="C192" s="840"/>
      <c r="D192" s="840"/>
      <c r="E192" s="840"/>
      <c r="F192" s="409">
        <f>+F175</f>
        <v>58046143166.969086</v>
      </c>
      <c r="G192" s="287">
        <f t="shared" ref="G192:G193" si="31">+G191</f>
        <v>10580415189.619999</v>
      </c>
      <c r="H192" s="287">
        <f t="shared" si="29"/>
        <v>47465727977.349091</v>
      </c>
      <c r="I192" s="411">
        <f>+F192/G192</f>
        <v>5.4861876520607353</v>
      </c>
      <c r="J192" s="411">
        <f>+'Valoración Sin Estrategia'!J192</f>
        <v>4.8499999999999996</v>
      </c>
      <c r="K192" s="457">
        <f t="shared" si="30"/>
        <v>0.63618765206073569</v>
      </c>
      <c r="L192" s="866">
        <f>SUM(AVERAGE(F190:F193))</f>
        <v>66870318280.205826</v>
      </c>
      <c r="M192" s="867"/>
      <c r="N192" s="458">
        <f>AVERAGE(I190:I193)</f>
        <v>6.3201979394730641</v>
      </c>
      <c r="O192" s="175" t="s">
        <v>449</v>
      </c>
      <c r="P192" s="287">
        <f>AVERAGE(F190:F191)</f>
        <v>26644035485.719803</v>
      </c>
      <c r="Q192" s="188" t="s">
        <v>450</v>
      </c>
    </row>
    <row r="193" spans="1:14" ht="15.75" thickBot="1">
      <c r="A193" s="840" t="s">
        <v>451</v>
      </c>
      <c r="B193" s="840"/>
      <c r="C193" s="840"/>
      <c r="D193" s="840"/>
      <c r="E193" s="840"/>
      <c r="F193" s="409">
        <f>+F116</f>
        <v>156147058982.41461</v>
      </c>
      <c r="G193" s="287">
        <f t="shared" si="31"/>
        <v>10580415189.619999</v>
      </c>
      <c r="H193" s="287">
        <f t="shared" si="29"/>
        <v>145566643792.79462</v>
      </c>
      <c r="I193" s="411">
        <f t="shared" ref="I193" si="32">+F193/G193</f>
        <v>14.758122075927979</v>
      </c>
      <c r="J193" s="411">
        <f>+'Valoración Sin Estrategia'!J193</f>
        <v>4.8499999999999996</v>
      </c>
      <c r="K193" s="457">
        <f t="shared" si="30"/>
        <v>9.9081220759279791</v>
      </c>
      <c r="L193" s="868"/>
      <c r="M193" s="869"/>
      <c r="N193" s="459" t="s">
        <v>452</v>
      </c>
    </row>
    <row r="194" spans="1:14" ht="15.75" thickBot="1">
      <c r="H194" s="388"/>
      <c r="L194" s="43"/>
    </row>
    <row r="195" spans="1:14">
      <c r="A195" s="870" t="s">
        <v>17</v>
      </c>
      <c r="B195" s="871"/>
      <c r="C195" s="871"/>
      <c r="D195" s="871"/>
      <c r="E195" s="872"/>
      <c r="F195" s="421">
        <f>+L192/'Estados Finan + Estrategia'!J93</f>
        <v>1.308170010695838</v>
      </c>
      <c r="J195" s="420"/>
    </row>
    <row r="196" spans="1:14">
      <c r="A196" s="880" t="s">
        <v>454</v>
      </c>
      <c r="B196" s="853"/>
      <c r="C196" s="853"/>
      <c r="D196" s="853"/>
      <c r="E196" s="881"/>
      <c r="F196" s="422">
        <f>+L192/'Estados Finan + Estrategia'!J106</f>
        <v>102.58373808872649</v>
      </c>
      <c r="J196" s="43"/>
    </row>
    <row r="197" spans="1:14" ht="15.75" thickBot="1">
      <c r="A197" s="882" t="s">
        <v>1</v>
      </c>
      <c r="B197" s="883"/>
      <c r="C197" s="883"/>
      <c r="D197" s="883"/>
      <c r="E197" s="884"/>
      <c r="F197" s="423">
        <f>+L192/('Estados Finan + Estrategia'!J106+'Estados Finan + Estrategia'!J105+'Estados Finan + Estrategia'!J102+'Estados Finan + Estrategia'!J111+'Estados Finan + Estrategia'!J112)</f>
        <v>4.2256007781924856</v>
      </c>
    </row>
    <row r="198" spans="1:14" ht="15.75" thickBot="1"/>
    <row r="199" spans="1:14">
      <c r="A199" s="885" t="s">
        <v>465</v>
      </c>
      <c r="B199" s="886"/>
      <c r="C199" s="886"/>
      <c r="D199" s="886"/>
      <c r="E199" s="886"/>
      <c r="F199" s="886"/>
      <c r="G199" s="886"/>
      <c r="H199" s="886"/>
      <c r="I199" s="886"/>
      <c r="J199" s="886"/>
      <c r="K199" s="887"/>
    </row>
    <row r="200" spans="1:14" ht="15.75" thickBot="1">
      <c r="A200" s="888"/>
      <c r="B200" s="889"/>
      <c r="C200" s="889"/>
      <c r="D200" s="889"/>
      <c r="E200" s="889"/>
      <c r="F200" s="889"/>
      <c r="G200" s="889"/>
      <c r="H200" s="889"/>
      <c r="I200" s="889"/>
      <c r="J200" s="889"/>
      <c r="K200" s="890"/>
    </row>
    <row r="201" spans="1:14" ht="32.25" thickBot="1">
      <c r="A201" s="891" t="s">
        <v>436</v>
      </c>
      <c r="B201" s="892"/>
      <c r="C201" s="892"/>
      <c r="D201" s="892"/>
      <c r="E201" s="893"/>
      <c r="F201" s="460" t="s">
        <v>466</v>
      </c>
      <c r="G201" s="461" t="s">
        <v>467</v>
      </c>
      <c r="H201" s="462" t="s">
        <v>441</v>
      </c>
      <c r="I201" s="462" t="s">
        <v>440</v>
      </c>
      <c r="J201" s="462" t="s">
        <v>441</v>
      </c>
      <c r="K201" s="462" t="s">
        <v>468</v>
      </c>
    </row>
    <row r="202" spans="1:14">
      <c r="A202" s="894" t="s">
        <v>444</v>
      </c>
      <c r="B202" s="895"/>
      <c r="C202" s="895"/>
      <c r="D202" s="895"/>
      <c r="E202" s="896"/>
      <c r="F202" s="463">
        <f>+'Valoración Sin Estrategia'!I190</f>
        <v>1.3680532346693446</v>
      </c>
      <c r="G202" s="463">
        <f>+I190</f>
        <v>1.5928964009200022</v>
      </c>
      <c r="H202" s="463">
        <f>+G202-F202</f>
        <v>0.22484316625065759</v>
      </c>
      <c r="I202" s="463">
        <f>+J190</f>
        <v>4.8499999999999996</v>
      </c>
      <c r="J202" s="464">
        <f>+I202-G202</f>
        <v>3.2571035990799975</v>
      </c>
      <c r="K202" s="465">
        <f>+H190-'Valoración Sin Estrategia'!H190</f>
        <v>2378934051.4807129</v>
      </c>
    </row>
    <row r="203" spans="1:14">
      <c r="A203" s="874" t="s">
        <v>447</v>
      </c>
      <c r="B203" s="875"/>
      <c r="C203" s="875"/>
      <c r="D203" s="875"/>
      <c r="E203" s="876"/>
      <c r="F203" s="463">
        <f>+'Valoración Sin Estrategia'!I191</f>
        <v>2.9575108939105421</v>
      </c>
      <c r="G203" s="463">
        <f t="shared" ref="G203:G205" si="33">+I191</f>
        <v>3.44358562898354</v>
      </c>
      <c r="H203" s="463">
        <f t="shared" ref="H203:H205" si="34">+G203-F203</f>
        <v>0.48607473507299792</v>
      </c>
      <c r="I203" s="463">
        <f t="shared" ref="I203:I205" si="35">+J191</f>
        <v>4.8499999999999996</v>
      </c>
      <c r="J203" s="464">
        <f t="shared" ref="J203:J205" si="36">+I203-G203</f>
        <v>1.4064143710164596</v>
      </c>
      <c r="K203" s="465">
        <f>+H191-'Valoración Sin Estrategia'!H191</f>
        <v>5142872510.2568665</v>
      </c>
    </row>
    <row r="204" spans="1:14">
      <c r="A204" s="874" t="s">
        <v>1</v>
      </c>
      <c r="B204" s="875"/>
      <c r="C204" s="875"/>
      <c r="D204" s="875"/>
      <c r="E204" s="876"/>
      <c r="F204" s="463">
        <f>+'Valoración Sin Estrategia'!I192</f>
        <v>3.9954836009864261</v>
      </c>
      <c r="G204" s="463">
        <f t="shared" si="33"/>
        <v>5.4861876520607353</v>
      </c>
      <c r="H204" s="463">
        <f t="shared" si="34"/>
        <v>1.4907040510743093</v>
      </c>
      <c r="I204" s="463">
        <f t="shared" si="35"/>
        <v>4.8499999999999996</v>
      </c>
      <c r="J204" s="464">
        <f t="shared" si="36"/>
        <v>-0.63618765206073569</v>
      </c>
      <c r="K204" s="465">
        <f>+H192-'Valoración Sin Estrategia'!H192</f>
        <v>15772267785.214695</v>
      </c>
    </row>
    <row r="205" spans="1:14" ht="15.75" thickBot="1">
      <c r="A205" s="877" t="s">
        <v>451</v>
      </c>
      <c r="B205" s="878"/>
      <c r="C205" s="878"/>
      <c r="D205" s="878"/>
      <c r="E205" s="879"/>
      <c r="F205" s="463">
        <f>+'Valoración Sin Estrategia'!I193</f>
        <v>7.8234833553483956</v>
      </c>
      <c r="G205" s="463">
        <f t="shared" si="33"/>
        <v>14.758122075927979</v>
      </c>
      <c r="H205" s="463">
        <f t="shared" si="34"/>
        <v>6.9346387205795832</v>
      </c>
      <c r="I205" s="463">
        <f t="shared" si="35"/>
        <v>4.8499999999999996</v>
      </c>
      <c r="J205" s="464">
        <f t="shared" si="36"/>
        <v>-9.9081220759279791</v>
      </c>
      <c r="K205" s="465">
        <f>+H193-'Valoración Sin Estrategia'!H193</f>
        <v>73371356853.747208</v>
      </c>
    </row>
    <row r="213" spans="9:9">
      <c r="I213" s="2">
        <v>5.07</v>
      </c>
    </row>
  </sheetData>
  <mergeCells count="142">
    <mergeCell ref="A204:E204"/>
    <mergeCell ref="A205:E205"/>
    <mergeCell ref="A196:E196"/>
    <mergeCell ref="A197:E197"/>
    <mergeCell ref="A199:K200"/>
    <mergeCell ref="A201:E201"/>
    <mergeCell ref="A202:E202"/>
    <mergeCell ref="A203:E203"/>
    <mergeCell ref="A190:E190"/>
    <mergeCell ref="A191:E191"/>
    <mergeCell ref="A192:E192"/>
    <mergeCell ref="L192:M193"/>
    <mergeCell ref="A193:E193"/>
    <mergeCell ref="A195:E195"/>
    <mergeCell ref="A179:E179"/>
    <mergeCell ref="A180:E180"/>
    <mergeCell ref="A181:E181"/>
    <mergeCell ref="A182:E182"/>
    <mergeCell ref="A187:K188"/>
    <mergeCell ref="A189:E189"/>
    <mergeCell ref="A152:J153"/>
    <mergeCell ref="A155:E155"/>
    <mergeCell ref="K155:K182"/>
    <mergeCell ref="A156:E156"/>
    <mergeCell ref="A157:E157"/>
    <mergeCell ref="A158:E158"/>
    <mergeCell ref="A159:E159"/>
    <mergeCell ref="A171:E171"/>
    <mergeCell ref="A172:E172"/>
    <mergeCell ref="A173:E173"/>
    <mergeCell ref="A174:E174"/>
    <mergeCell ref="A175:E175"/>
    <mergeCell ref="A177:E177"/>
    <mergeCell ref="A161:E161"/>
    <mergeCell ref="A162:E162"/>
    <mergeCell ref="A163:E163"/>
    <mergeCell ref="A165:E165"/>
    <mergeCell ref="A167:E167"/>
    <mergeCell ref="A169:E169"/>
    <mergeCell ref="A127:J128"/>
    <mergeCell ref="A110:E110"/>
    <mergeCell ref="A112:E112"/>
    <mergeCell ref="A113:E113"/>
    <mergeCell ref="A114:E114"/>
    <mergeCell ref="A115:E115"/>
    <mergeCell ref="A116:E116"/>
    <mergeCell ref="A130:E130"/>
    <mergeCell ref="K130:K145"/>
    <mergeCell ref="A131:E131"/>
    <mergeCell ref="A132:E132"/>
    <mergeCell ref="A133:E133"/>
    <mergeCell ref="A134:E134"/>
    <mergeCell ref="A135:E135"/>
    <mergeCell ref="A140:E140"/>
    <mergeCell ref="A141:E141"/>
    <mergeCell ref="A142:E142"/>
    <mergeCell ref="A143:E143"/>
    <mergeCell ref="A144:E144"/>
    <mergeCell ref="A145:E145"/>
    <mergeCell ref="A98:E98"/>
    <mergeCell ref="K98:K123"/>
    <mergeCell ref="A99:E99"/>
    <mergeCell ref="A100:E100"/>
    <mergeCell ref="A102:E102"/>
    <mergeCell ref="A103:E103"/>
    <mergeCell ref="A105:E105"/>
    <mergeCell ref="A106:E106"/>
    <mergeCell ref="A108:E108"/>
    <mergeCell ref="A109:E109"/>
    <mergeCell ref="A118:E118"/>
    <mergeCell ref="A120:E120"/>
    <mergeCell ref="A121:E121"/>
    <mergeCell ref="A122:E122"/>
    <mergeCell ref="A123:E123"/>
    <mergeCell ref="F91:I91"/>
    <mergeCell ref="F92:I92"/>
    <mergeCell ref="K92:L95"/>
    <mergeCell ref="F93:I93"/>
    <mergeCell ref="F94:I94"/>
    <mergeCell ref="F95:I95"/>
    <mergeCell ref="A77:J78"/>
    <mergeCell ref="F82:I82"/>
    <mergeCell ref="F83:I83"/>
    <mergeCell ref="F86:I86"/>
    <mergeCell ref="F87:I87"/>
    <mergeCell ref="K87:L89"/>
    <mergeCell ref="F88:I88"/>
    <mergeCell ref="F89:I89"/>
    <mergeCell ref="B68:E68"/>
    <mergeCell ref="B70:E70"/>
    <mergeCell ref="B71:E71"/>
    <mergeCell ref="B72:E72"/>
    <mergeCell ref="B74:E74"/>
    <mergeCell ref="A76:D76"/>
    <mergeCell ref="B60:E60"/>
    <mergeCell ref="B62:E62"/>
    <mergeCell ref="B63:E63"/>
    <mergeCell ref="B65:E65"/>
    <mergeCell ref="B66:E66"/>
    <mergeCell ref="B67:E67"/>
    <mergeCell ref="A51:E51"/>
    <mergeCell ref="A53:J54"/>
    <mergeCell ref="B56:E56"/>
    <mergeCell ref="B57:E57"/>
    <mergeCell ref="B58:E58"/>
    <mergeCell ref="B59:E59"/>
    <mergeCell ref="A42:E42"/>
    <mergeCell ref="A43:E43"/>
    <mergeCell ref="A44:E44"/>
    <mergeCell ref="A46:E46"/>
    <mergeCell ref="A48:E48"/>
    <mergeCell ref="A49:E49"/>
    <mergeCell ref="A36:E36"/>
    <mergeCell ref="A37:E37"/>
    <mergeCell ref="A39:E39"/>
    <mergeCell ref="A19:E19"/>
    <mergeCell ref="G19:G20"/>
    <mergeCell ref="A20:F20"/>
    <mergeCell ref="A22:E22"/>
    <mergeCell ref="G22:G27"/>
    <mergeCell ref="A23:E23"/>
    <mergeCell ref="A24:E24"/>
    <mergeCell ref="A26:E26"/>
    <mergeCell ref="A27:E27"/>
    <mergeCell ref="A12:E12"/>
    <mergeCell ref="G12:G17"/>
    <mergeCell ref="A13:E13"/>
    <mergeCell ref="A14:E14"/>
    <mergeCell ref="A16:E16"/>
    <mergeCell ref="A17:E17"/>
    <mergeCell ref="A29:E29"/>
    <mergeCell ref="A32:E32"/>
    <mergeCell ref="A35:E35"/>
    <mergeCell ref="A3:Q4"/>
    <mergeCell ref="A5:Q5"/>
    <mergeCell ref="A6:Q6"/>
    <mergeCell ref="A7:Q7"/>
    <mergeCell ref="A8:Q8"/>
    <mergeCell ref="A9:F9"/>
    <mergeCell ref="A10:F10"/>
    <mergeCell ref="I10:N10"/>
    <mergeCell ref="A11:E11"/>
  </mergeCells>
  <hyperlinks>
    <hyperlink ref="A1" location="CONTENIDO!A30" display="MENU PRINCIPAL" xr:uid="{00000000-0004-0000-1300-000000000000}"/>
  </hyperlink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9"/>
  <dimension ref="H2:H8"/>
  <sheetViews>
    <sheetView workbookViewId="0">
      <selection activeCell="H3" sqref="H3:H8"/>
    </sheetView>
  </sheetViews>
  <sheetFormatPr baseColWidth="10" defaultRowHeight="15"/>
  <cols>
    <col min="1" max="1" width="60.85546875" style="2" customWidth="1"/>
    <col min="2" max="2" width="43.7109375" style="2" bestFit="1" customWidth="1"/>
    <col min="3" max="3" width="16.85546875" style="2" customWidth="1"/>
    <col min="4" max="4" width="17" style="2" customWidth="1"/>
    <col min="5" max="5" width="16.7109375" style="2" customWidth="1"/>
    <col min="6" max="6" width="15.85546875" style="2" customWidth="1"/>
    <col min="7" max="7" width="16.5703125" style="2" customWidth="1"/>
    <col min="8" max="8" width="63.140625" style="2" bestFit="1" customWidth="1"/>
    <col min="9" max="9" width="11.42578125" style="2"/>
    <col min="10" max="10" width="15" style="2" customWidth="1"/>
    <col min="11" max="11" width="16.28515625" style="2" bestFit="1" customWidth="1"/>
    <col min="12" max="15" width="11.42578125" style="2"/>
    <col min="16" max="16" width="13.85546875" style="2" customWidth="1"/>
    <col min="17" max="16384" width="11.42578125" style="2"/>
  </cols>
  <sheetData>
    <row r="2" spans="8:8" ht="15.75" thickBot="1"/>
    <row r="3" spans="8:8">
      <c r="H3" s="76" t="s">
        <v>137</v>
      </c>
    </row>
    <row r="4" spans="8:8">
      <c r="H4" s="77" t="s">
        <v>134</v>
      </c>
    </row>
    <row r="5" spans="8:8">
      <c r="H5" s="78"/>
    </row>
    <row r="6" spans="8:8">
      <c r="H6" s="77" t="s">
        <v>135</v>
      </c>
    </row>
    <row r="7" spans="8:8">
      <c r="H7" s="78"/>
    </row>
    <row r="8" spans="8:8" ht="15.75" thickBot="1">
      <c r="H8" s="79" t="s">
        <v>136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Estados Financieros</vt:lpstr>
      <vt:lpstr>Inductores Operativos y Financi</vt:lpstr>
      <vt:lpstr>DESAGREGADO CXP</vt:lpstr>
      <vt:lpstr>Inductores de Rentabilidad</vt:lpstr>
      <vt:lpstr>Razones Financieras</vt:lpstr>
      <vt:lpstr>Flujo de Caja</vt:lpstr>
      <vt:lpstr>Informe</vt:lpstr>
      <vt:lpstr>RENTABILIDAD OPERACIONAL</vt:lpstr>
      <vt:lpstr>ROE.</vt:lpstr>
      <vt:lpstr>RAZON CORRIENTE</vt:lpstr>
      <vt:lpstr>INDICE DE SOLIDEZ.</vt:lpstr>
      <vt:lpstr>ENDEUDAMIENTO</vt:lpstr>
      <vt:lpstr>ROTACION CARTERA.</vt:lpstr>
      <vt:lpstr>CONTENIDO</vt:lpstr>
      <vt:lpstr>Cifras Historicas</vt:lpstr>
      <vt:lpstr>Analisis Financiero</vt:lpstr>
      <vt:lpstr>Estrategias Operativas</vt:lpstr>
      <vt:lpstr>Estados Finan + Estrategia</vt:lpstr>
      <vt:lpstr>Valoración Sin Estrategia</vt:lpstr>
      <vt:lpstr>Valoración + Estrategia</vt:lpstr>
      <vt:lpstr>TEORIA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Ferrin</dc:creator>
  <cp:lastModifiedBy>Jeimmy Julieth Rodriguez España</cp:lastModifiedBy>
  <dcterms:created xsi:type="dcterms:W3CDTF">2014-09-30T03:29:49Z</dcterms:created>
  <dcterms:modified xsi:type="dcterms:W3CDTF">2021-06-25T23:52:07Z</dcterms:modified>
</cp:coreProperties>
</file>