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omments2.xml" ContentType="application/vnd.openxmlformats-officedocument.spreadsheetml.comments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5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6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asoto\OneDrive - CETCO S.A\Usuarios\Documents\Andrea\U\"/>
    </mc:Choice>
  </mc:AlternateContent>
  <xr:revisionPtr revIDLastSave="0" documentId="8_{AEE481EE-CD70-4274-BB04-55012B4573C0}" xr6:coauthVersionLast="45" xr6:coauthVersionMax="45" xr10:uidLastSave="{00000000-0000-0000-0000-000000000000}"/>
  <bookViews>
    <workbookView xWindow="-108" yWindow="-108" windowWidth="15576" windowHeight="11904" firstSheet="5" activeTab="7" xr2:uid="{00000000-000D-0000-FFFF-FFFF00000000}"/>
  </bookViews>
  <sheets>
    <sheet name="Cifras Historicas" sheetId="1" r:id="rId1"/>
    <sheet name="Analisis Financiero" sheetId="2" r:id="rId2"/>
    <sheet name="Valoración Sin Estrategia" sheetId="5" r:id="rId3"/>
    <sheet name="Estrategias Operativas" sheetId="6" r:id="rId4"/>
    <sheet name="Estados Finan + Estrategia" sheetId="10" r:id="rId5"/>
    <sheet name="Valoración + Estrategia" sheetId="9" r:id="rId6"/>
    <sheet name="Springate" sheetId="15" r:id="rId7"/>
    <sheet name="Indicador Altman Manufactura" sheetId="16" r:id="rId8"/>
  </sheets>
  <externalReferences>
    <externalReference r:id="rId9"/>
    <externalReference r:id="rId10"/>
  </externalReferenc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0" i="16" l="1"/>
  <c r="E12" i="16"/>
  <c r="D12" i="16"/>
  <c r="C12" i="16"/>
  <c r="E11" i="16"/>
  <c r="D11" i="16"/>
  <c r="C11" i="16"/>
  <c r="E10" i="16"/>
  <c r="D10" i="16"/>
  <c r="D15" i="16" s="1"/>
  <c r="C10" i="16"/>
  <c r="E9" i="16"/>
  <c r="D9" i="16"/>
  <c r="C9" i="16"/>
  <c r="E8" i="16"/>
  <c r="D8" i="16"/>
  <c r="C8" i="16"/>
  <c r="E7" i="16"/>
  <c r="D7" i="16"/>
  <c r="C7" i="16"/>
  <c r="E6" i="16"/>
  <c r="D6" i="16"/>
  <c r="C6" i="16"/>
  <c r="E30" i="16"/>
  <c r="D30" i="16"/>
  <c r="C30" i="16"/>
  <c r="E29" i="16"/>
  <c r="D29" i="16"/>
  <c r="C29" i="16"/>
  <c r="E28" i="16"/>
  <c r="D28" i="16"/>
  <c r="C28" i="16"/>
  <c r="D16" i="16"/>
  <c r="C17" i="16"/>
  <c r="D14" i="16" l="1"/>
  <c r="C14" i="16"/>
  <c r="D18" i="16"/>
  <c r="E18" i="16"/>
  <c r="E17" i="16"/>
  <c r="D17" i="16"/>
  <c r="E14" i="16"/>
  <c r="E15" i="16"/>
  <c r="E16" i="16"/>
  <c r="C16" i="16"/>
  <c r="C15" i="16"/>
  <c r="C18" i="16"/>
  <c r="E20" i="16" l="1"/>
  <c r="E31" i="16" s="1"/>
  <c r="C20" i="16"/>
  <c r="C31" i="16" s="1"/>
  <c r="D31" i="16"/>
  <c r="D21" i="16"/>
  <c r="E21" i="16" l="1"/>
  <c r="C21" i="16"/>
  <c r="Y71" i="1" l="1"/>
  <c r="Y69" i="1"/>
  <c r="Y66" i="1"/>
  <c r="Y65" i="1"/>
  <c r="Y64" i="1"/>
  <c r="F257" i="10" l="1"/>
  <c r="E257" i="10"/>
  <c r="D257" i="10"/>
  <c r="C257" i="10"/>
  <c r="F249" i="10"/>
  <c r="E249" i="10"/>
  <c r="D249" i="10"/>
  <c r="C249" i="10"/>
  <c r="B249" i="10"/>
  <c r="F248" i="10"/>
  <c r="E248" i="10"/>
  <c r="D248" i="10"/>
  <c r="C248" i="10"/>
  <c r="B248" i="10"/>
  <c r="F247" i="10"/>
  <c r="E247" i="10"/>
  <c r="D247" i="10"/>
  <c r="C247" i="10"/>
  <c r="B247" i="10"/>
  <c r="F242" i="10"/>
  <c r="E242" i="10"/>
  <c r="D242" i="10"/>
  <c r="C242" i="10"/>
  <c r="B242" i="10"/>
  <c r="F241" i="10"/>
  <c r="E241" i="10"/>
  <c r="D241" i="10"/>
  <c r="C241" i="10"/>
  <c r="B241" i="10"/>
  <c r="F240" i="10"/>
  <c r="E240" i="10"/>
  <c r="D240" i="10"/>
  <c r="C240" i="10"/>
  <c r="B240" i="10"/>
  <c r="F235" i="10"/>
  <c r="E235" i="10"/>
  <c r="D235" i="10"/>
  <c r="C235" i="10"/>
  <c r="B235" i="10"/>
  <c r="F234" i="10"/>
  <c r="E234" i="10"/>
  <c r="D234" i="10"/>
  <c r="C234" i="10"/>
  <c r="B234" i="10"/>
  <c r="F233" i="10"/>
  <c r="E233" i="10"/>
  <c r="D233" i="10"/>
  <c r="C233" i="10"/>
  <c r="B233" i="10"/>
  <c r="E256" i="10"/>
  <c r="F256" i="10"/>
  <c r="F215" i="10"/>
  <c r="E215" i="10"/>
  <c r="D215" i="10"/>
  <c r="C215" i="10"/>
  <c r="F210" i="10"/>
  <c r="E210" i="10"/>
  <c r="D210" i="10"/>
  <c r="C210" i="10"/>
  <c r="F209" i="10"/>
  <c r="E209" i="10"/>
  <c r="D209" i="10"/>
  <c r="C209" i="10"/>
  <c r="B209" i="10"/>
  <c r="F208" i="10"/>
  <c r="E208" i="10"/>
  <c r="D208" i="10"/>
  <c r="C208" i="10"/>
  <c r="B208" i="10"/>
  <c r="F207" i="10"/>
  <c r="E207" i="10"/>
  <c r="D207" i="10"/>
  <c r="C207" i="10"/>
  <c r="B207" i="10"/>
  <c r="G149" i="10"/>
  <c r="F180" i="10"/>
  <c r="E180" i="10"/>
  <c r="D180" i="10"/>
  <c r="C180" i="10"/>
  <c r="B180" i="10"/>
  <c r="F173" i="10"/>
  <c r="E173" i="10"/>
  <c r="D173" i="10"/>
  <c r="C173" i="10"/>
  <c r="F172" i="10"/>
  <c r="E172" i="10"/>
  <c r="D172" i="10"/>
  <c r="F170" i="10"/>
  <c r="E170" i="10"/>
  <c r="D170" i="10"/>
  <c r="C170" i="10"/>
  <c r="B170" i="10"/>
  <c r="F169" i="10"/>
  <c r="E169" i="10"/>
  <c r="D169" i="10"/>
  <c r="C169" i="10"/>
  <c r="B169" i="10"/>
  <c r="F161" i="10"/>
  <c r="E161" i="10"/>
  <c r="D161" i="10"/>
  <c r="C161" i="10"/>
  <c r="G156" i="10"/>
  <c r="F156" i="10"/>
  <c r="E156" i="10"/>
  <c r="D156" i="10"/>
  <c r="C156" i="10"/>
  <c r="B156" i="10"/>
  <c r="F155" i="10"/>
  <c r="E155" i="10"/>
  <c r="D155" i="10"/>
  <c r="C155" i="10"/>
  <c r="B155" i="10"/>
  <c r="F154" i="10"/>
  <c r="E154" i="10"/>
  <c r="D154" i="10"/>
  <c r="C154" i="10"/>
  <c r="B154" i="10"/>
  <c r="F149" i="10"/>
  <c r="E149" i="10"/>
  <c r="D149" i="10"/>
  <c r="C149" i="10"/>
  <c r="F148" i="10"/>
  <c r="E148" i="10"/>
  <c r="D148" i="10"/>
  <c r="C148" i="10"/>
  <c r="F147" i="10"/>
  <c r="E147" i="10"/>
  <c r="D147" i="10"/>
  <c r="C147" i="10"/>
  <c r="F146" i="10"/>
  <c r="E146" i="10"/>
  <c r="D146" i="10"/>
  <c r="C146" i="10"/>
  <c r="B146" i="10"/>
  <c r="G141" i="10"/>
  <c r="F141" i="10"/>
  <c r="E141" i="10"/>
  <c r="D141" i="10"/>
  <c r="C141" i="10"/>
  <c r="F140" i="10"/>
  <c r="E140" i="10"/>
  <c r="D140" i="10"/>
  <c r="C140" i="10"/>
  <c r="B140" i="10"/>
  <c r="F139" i="10"/>
  <c r="E139" i="10"/>
  <c r="D139" i="10"/>
  <c r="C139" i="10"/>
  <c r="B139" i="10"/>
  <c r="F138" i="10"/>
  <c r="E138" i="10"/>
  <c r="D138" i="10"/>
  <c r="C138" i="10"/>
  <c r="B138" i="10"/>
  <c r="F131" i="10"/>
  <c r="E131" i="10"/>
  <c r="D131" i="10"/>
  <c r="C131" i="10"/>
  <c r="B131" i="10"/>
  <c r="F126" i="10"/>
  <c r="E126" i="10"/>
  <c r="D126" i="10"/>
  <c r="C126" i="10"/>
  <c r="B126" i="10"/>
  <c r="F125" i="10"/>
  <c r="E125" i="10"/>
  <c r="D125" i="10"/>
  <c r="C125" i="10"/>
  <c r="B125" i="10"/>
  <c r="F119" i="10"/>
  <c r="E119" i="10"/>
  <c r="D119" i="10"/>
  <c r="C119" i="10"/>
  <c r="B119" i="10"/>
  <c r="F118" i="10"/>
  <c r="E118" i="10"/>
  <c r="D118" i="10"/>
  <c r="C118" i="10"/>
  <c r="B118" i="10"/>
  <c r="F116" i="10"/>
  <c r="E116" i="10"/>
  <c r="D116" i="10"/>
  <c r="C116" i="10"/>
  <c r="B116" i="10"/>
  <c r="D232" i="10"/>
  <c r="D239" i="10" s="1"/>
  <c r="D245" i="10" s="1"/>
  <c r="D256" i="10" s="1"/>
  <c r="C232" i="10"/>
  <c r="C239" i="10" s="1"/>
  <c r="C245" i="10" s="1"/>
  <c r="C256" i="10" s="1"/>
  <c r="B232" i="10"/>
  <c r="B239" i="10" s="1"/>
  <c r="B245" i="10" s="1"/>
  <c r="B256" i="10" s="1"/>
  <c r="B114" i="2"/>
  <c r="F10" i="9" l="1"/>
  <c r="C37" i="15"/>
  <c r="D37" i="15" s="1"/>
  <c r="E37" i="15" s="1"/>
  <c r="F37" i="15" s="1"/>
  <c r="G37" i="15" s="1"/>
  <c r="H37" i="15" s="1"/>
  <c r="I37" i="15" s="1"/>
  <c r="J37" i="15" s="1"/>
  <c r="K37" i="15" s="1"/>
  <c r="L37" i="15" s="1"/>
  <c r="G25" i="15"/>
  <c r="F25" i="15"/>
  <c r="E25" i="15"/>
  <c r="G24" i="15"/>
  <c r="F24" i="15"/>
  <c r="E24" i="15"/>
  <c r="G23" i="15"/>
  <c r="G29" i="15" s="1"/>
  <c r="F23" i="15"/>
  <c r="E23" i="15"/>
  <c r="D29" i="15" s="1"/>
  <c r="C29" i="15" s="1"/>
  <c r="G22" i="15"/>
  <c r="G28" i="15" s="1"/>
  <c r="F22" i="15"/>
  <c r="E22" i="15"/>
  <c r="G21" i="15"/>
  <c r="F21" i="15"/>
  <c r="E21" i="15"/>
  <c r="C27" i="15" s="1"/>
  <c r="G20" i="15"/>
  <c r="G27" i="15" s="1"/>
  <c r="F20" i="15"/>
  <c r="F27" i="15" s="1"/>
  <c r="E20" i="15"/>
  <c r="E27" i="15" s="1"/>
  <c r="E28" i="15" l="1"/>
  <c r="D28" i="15" s="1"/>
  <c r="C28" i="15" s="1"/>
  <c r="C32" i="15" s="1"/>
  <c r="E29" i="15"/>
  <c r="E30" i="15"/>
  <c r="D30" i="15" s="1"/>
  <c r="C30" i="15" s="1"/>
  <c r="F28" i="15"/>
  <c r="F32" i="15" s="1"/>
  <c r="F29" i="15"/>
  <c r="F30" i="15"/>
  <c r="G30" i="15"/>
  <c r="G32" i="15" s="1"/>
  <c r="C38" i="15" l="1"/>
  <c r="C33" i="15"/>
  <c r="F33" i="15"/>
  <c r="F38" i="15"/>
  <c r="E32" i="15"/>
  <c r="G33" i="15"/>
  <c r="G38" i="15"/>
  <c r="D27" i="15" l="1"/>
  <c r="D32" i="15" s="1"/>
  <c r="E33" i="15"/>
  <c r="E38" i="15"/>
  <c r="J104" i="10"/>
  <c r="I104" i="10"/>
  <c r="H104" i="10"/>
  <c r="J103" i="10"/>
  <c r="I103" i="10"/>
  <c r="H103" i="10"/>
  <c r="D252" i="2"/>
  <c r="C252" i="2"/>
  <c r="B252" i="2"/>
  <c r="D250" i="2"/>
  <c r="C250" i="2"/>
  <c r="B250" i="2"/>
  <c r="D249" i="2"/>
  <c r="C249" i="2"/>
  <c r="B249" i="2"/>
  <c r="D248" i="2"/>
  <c r="C248" i="2"/>
  <c r="B248" i="2"/>
  <c r="D247" i="2"/>
  <c r="C247" i="2"/>
  <c r="B247" i="2"/>
  <c r="D246" i="2"/>
  <c r="C246" i="2"/>
  <c r="B246" i="2"/>
  <c r="D234" i="2"/>
  <c r="C234" i="2"/>
  <c r="B234" i="2"/>
  <c r="D233" i="2"/>
  <c r="C233" i="2"/>
  <c r="B233" i="2"/>
  <c r="D228" i="2"/>
  <c r="C228" i="2"/>
  <c r="B228" i="2"/>
  <c r="D227" i="2"/>
  <c r="C227" i="2"/>
  <c r="B227" i="2"/>
  <c r="D226" i="2"/>
  <c r="C226" i="2"/>
  <c r="B226" i="2"/>
  <c r="D225" i="2"/>
  <c r="C225" i="2"/>
  <c r="B225" i="2"/>
  <c r="D201" i="2"/>
  <c r="C201" i="2"/>
  <c r="B201" i="2"/>
  <c r="D195" i="2"/>
  <c r="C195" i="2"/>
  <c r="B195" i="2"/>
  <c r="B197" i="2" s="1"/>
  <c r="D196" i="2"/>
  <c r="C196" i="2"/>
  <c r="B196" i="2"/>
  <c r="C185" i="2"/>
  <c r="C184" i="2"/>
  <c r="D181" i="2"/>
  <c r="C181" i="2"/>
  <c r="B181" i="2"/>
  <c r="D180" i="2"/>
  <c r="C180" i="2"/>
  <c r="B180" i="2"/>
  <c r="D170" i="2"/>
  <c r="C170" i="2"/>
  <c r="B170" i="2"/>
  <c r="D169" i="2"/>
  <c r="C169" i="2"/>
  <c r="B169" i="2"/>
  <c r="D167" i="2"/>
  <c r="C167" i="2"/>
  <c r="B167" i="2"/>
  <c r="D166" i="2"/>
  <c r="C166" i="2"/>
  <c r="B166" i="2"/>
  <c r="D154" i="2"/>
  <c r="C154" i="2"/>
  <c r="B154" i="2"/>
  <c r="D146" i="2"/>
  <c r="C146" i="2"/>
  <c r="B146" i="2"/>
  <c r="D131" i="2"/>
  <c r="C131" i="2"/>
  <c r="B131" i="2"/>
  <c r="D126" i="2"/>
  <c r="C126" i="2"/>
  <c r="B126" i="2"/>
  <c r="D125" i="2"/>
  <c r="C125" i="2"/>
  <c r="B125" i="2"/>
  <c r="D124" i="2"/>
  <c r="C124" i="2"/>
  <c r="B124" i="2"/>
  <c r="D116" i="2"/>
  <c r="C116" i="2"/>
  <c r="B116" i="2"/>
  <c r="D119" i="2"/>
  <c r="C119" i="2"/>
  <c r="B119" i="2"/>
  <c r="D118" i="2"/>
  <c r="C118" i="2"/>
  <c r="B118" i="2"/>
  <c r="D115" i="2"/>
  <c r="C115" i="2"/>
  <c r="B115" i="2"/>
  <c r="D114" i="2"/>
  <c r="C114" i="2"/>
  <c r="I189" i="5"/>
  <c r="I188" i="5"/>
  <c r="J143" i="5"/>
  <c r="I143" i="5"/>
  <c r="H143" i="5"/>
  <c r="G143" i="5"/>
  <c r="F143" i="5"/>
  <c r="J133" i="5"/>
  <c r="I133" i="5"/>
  <c r="H133" i="5"/>
  <c r="G133" i="5"/>
  <c r="F133" i="5"/>
  <c r="D38" i="15" l="1"/>
  <c r="D33" i="15"/>
  <c r="O97" i="2"/>
  <c r="N97" i="2"/>
  <c r="M97" i="2"/>
  <c r="L97" i="2"/>
  <c r="K97" i="2"/>
  <c r="K94" i="2"/>
  <c r="L94" i="2"/>
  <c r="M94" i="2"/>
  <c r="N94" i="2"/>
  <c r="O94" i="2"/>
  <c r="J49" i="1"/>
  <c r="J31" i="1"/>
  <c r="J26" i="1"/>
  <c r="D277" i="2"/>
  <c r="C277" i="2"/>
  <c r="E277" i="2" s="1"/>
  <c r="E276" i="2"/>
  <c r="C276" i="2"/>
  <c r="D276" i="2" s="1"/>
  <c r="C275" i="2"/>
  <c r="E275" i="2" s="1"/>
  <c r="E271" i="2"/>
  <c r="D271" i="2"/>
  <c r="C265" i="2"/>
  <c r="D265" i="2" s="1"/>
  <c r="C259" i="2"/>
  <c r="B258" i="2"/>
  <c r="C257" i="2"/>
  <c r="C260" i="2" s="1"/>
  <c r="D259" i="2"/>
  <c r="B259" i="2"/>
  <c r="D251" i="2"/>
  <c r="D258" i="2"/>
  <c r="C258" i="2"/>
  <c r="D257" i="2"/>
  <c r="C251" i="2"/>
  <c r="B257" i="2"/>
  <c r="D242" i="2"/>
  <c r="C242" i="2"/>
  <c r="B242" i="2"/>
  <c r="D241" i="2"/>
  <c r="C241" i="2"/>
  <c r="B241" i="2"/>
  <c r="C240" i="2"/>
  <c r="B240" i="2"/>
  <c r="C239" i="2"/>
  <c r="C245" i="2" s="1"/>
  <c r="C256" i="2" s="1"/>
  <c r="B239" i="2"/>
  <c r="B245" i="2" s="1"/>
  <c r="B256" i="2" s="1"/>
  <c r="D235" i="2"/>
  <c r="C235" i="2"/>
  <c r="B235" i="2"/>
  <c r="D232" i="2"/>
  <c r="D239" i="2" s="1"/>
  <c r="D245" i="2" s="1"/>
  <c r="D256" i="2" s="1"/>
  <c r="C232" i="2"/>
  <c r="B232" i="2"/>
  <c r="C266" i="2"/>
  <c r="C264" i="2"/>
  <c r="D209" i="2"/>
  <c r="C209" i="2"/>
  <c r="B209" i="2"/>
  <c r="C208" i="2"/>
  <c r="B208" i="2"/>
  <c r="D207" i="2"/>
  <c r="C207" i="2"/>
  <c r="C210" i="2" s="1"/>
  <c r="C215" i="2" s="1"/>
  <c r="B207" i="2"/>
  <c r="B210" i="2" s="1"/>
  <c r="B215" i="2" s="1"/>
  <c r="D203" i="2"/>
  <c r="C203" i="2"/>
  <c r="B203" i="2"/>
  <c r="C197" i="2"/>
  <c r="C214" i="2" s="1"/>
  <c r="C216" i="2" s="1"/>
  <c r="D197" i="2"/>
  <c r="D214" i="2" s="1"/>
  <c r="B182" i="2"/>
  <c r="C182" i="2"/>
  <c r="C173" i="2"/>
  <c r="C168" i="2"/>
  <c r="C171" i="2" s="1"/>
  <c r="B168" i="2"/>
  <c r="B171" i="2" s="1"/>
  <c r="B174" i="2" s="1"/>
  <c r="D168" i="2"/>
  <c r="D171" i="2" s="1"/>
  <c r="C155" i="2"/>
  <c r="B155" i="2"/>
  <c r="C156" i="2"/>
  <c r="B156" i="2"/>
  <c r="D141" i="2"/>
  <c r="D147" i="2" s="1"/>
  <c r="B141" i="2"/>
  <c r="D140" i="2"/>
  <c r="C140" i="2"/>
  <c r="B140" i="2"/>
  <c r="D139" i="2"/>
  <c r="C139" i="2"/>
  <c r="B139" i="2"/>
  <c r="D138" i="2"/>
  <c r="C138" i="2"/>
  <c r="C141" i="2" s="1"/>
  <c r="C147" i="2" s="1"/>
  <c r="B138" i="2"/>
  <c r="C127" i="2"/>
  <c r="C132" i="2" s="1"/>
  <c r="C133" i="2" s="1"/>
  <c r="C160" i="2" s="1"/>
  <c r="D127" i="2"/>
  <c r="D132" i="2" s="1"/>
  <c r="D133" i="2" s="1"/>
  <c r="B127" i="2"/>
  <c r="C117" i="2"/>
  <c r="C120" i="2" s="1"/>
  <c r="D117" i="2"/>
  <c r="D120" i="2" s="1"/>
  <c r="B117" i="2"/>
  <c r="B120" i="2" s="1"/>
  <c r="J72" i="10"/>
  <c r="M15" i="1"/>
  <c r="D260" i="2" l="1"/>
  <c r="B260" i="2"/>
  <c r="E265" i="2"/>
  <c r="E203" i="2"/>
  <c r="C162" i="2"/>
  <c r="D160" i="2"/>
  <c r="C267" i="2"/>
  <c r="E266" i="2"/>
  <c r="D266" i="2"/>
  <c r="C148" i="2"/>
  <c r="C149" i="2" s="1"/>
  <c r="C161" i="2" s="1"/>
  <c r="C172" i="2"/>
  <c r="C174" i="2" s="1"/>
  <c r="E141" i="2"/>
  <c r="B214" i="2"/>
  <c r="B216" i="2" s="1"/>
  <c r="E197" i="2"/>
  <c r="E264" i="2"/>
  <c r="D264" i="2"/>
  <c r="D172" i="2"/>
  <c r="D148" i="2"/>
  <c r="D149" i="2" s="1"/>
  <c r="D161" i="2" s="1"/>
  <c r="E120" i="2"/>
  <c r="E127" i="2"/>
  <c r="B132" i="2"/>
  <c r="B133" i="2" s="1"/>
  <c r="D275" i="2"/>
  <c r="B147" i="2"/>
  <c r="B148" i="2" s="1"/>
  <c r="B149" i="2" s="1"/>
  <c r="B251" i="2"/>
  <c r="D248" i="1"/>
  <c r="C254" i="1"/>
  <c r="D254" i="1" s="1"/>
  <c r="C253" i="1"/>
  <c r="D253" i="1" s="1"/>
  <c r="C252" i="1"/>
  <c r="D252" i="1" s="1"/>
  <c r="E254" i="1"/>
  <c r="E253" i="1"/>
  <c r="E248" i="1"/>
  <c r="B160" i="2" l="1"/>
  <c r="E133" i="2"/>
  <c r="E267" i="2"/>
  <c r="D267" i="2"/>
  <c r="E149" i="2"/>
  <c r="B161" i="2"/>
  <c r="D162" i="2"/>
  <c r="E252" i="1"/>
  <c r="C225" i="1"/>
  <c r="D225" i="1"/>
  <c r="C226" i="1"/>
  <c r="D226" i="1"/>
  <c r="C227" i="1"/>
  <c r="C235" i="1" s="1"/>
  <c r="D227" i="1"/>
  <c r="D235" i="1" s="1"/>
  <c r="C229" i="1"/>
  <c r="C236" i="1" s="1"/>
  <c r="D229" i="1"/>
  <c r="D236" i="1" s="1"/>
  <c r="B229" i="1"/>
  <c r="B236" i="1" s="1"/>
  <c r="B227" i="1"/>
  <c r="B235" i="1" s="1"/>
  <c r="B226" i="1"/>
  <c r="B234" i="1" s="1"/>
  <c r="B225" i="1"/>
  <c r="C185" i="1"/>
  <c r="D185" i="1"/>
  <c r="C186" i="1"/>
  <c r="D186" i="1"/>
  <c r="B186" i="1"/>
  <c r="B185" i="1"/>
  <c r="C144" i="1"/>
  <c r="D144" i="1"/>
  <c r="C146" i="1"/>
  <c r="D146" i="1"/>
  <c r="C147" i="1"/>
  <c r="D147" i="1"/>
  <c r="D150" i="1"/>
  <c r="C150" i="1"/>
  <c r="B147" i="1"/>
  <c r="B146" i="1"/>
  <c r="B144" i="1"/>
  <c r="C131" i="1"/>
  <c r="D131" i="1"/>
  <c r="B131" i="1"/>
  <c r="C123" i="1"/>
  <c r="D123" i="1"/>
  <c r="B123" i="1"/>
  <c r="C115" i="1"/>
  <c r="D115" i="1"/>
  <c r="C116" i="1"/>
  <c r="D116" i="1"/>
  <c r="C117" i="1"/>
  <c r="D117" i="1"/>
  <c r="B117" i="1"/>
  <c r="B116" i="1"/>
  <c r="B115" i="1"/>
  <c r="D108" i="1"/>
  <c r="C108" i="1"/>
  <c r="B108" i="1"/>
  <c r="C102" i="1"/>
  <c r="D102" i="1"/>
  <c r="C103" i="1"/>
  <c r="D103" i="1"/>
  <c r="B103" i="1"/>
  <c r="B102" i="1"/>
  <c r="C92" i="1"/>
  <c r="D92" i="1"/>
  <c r="C93" i="1"/>
  <c r="D93" i="1"/>
  <c r="C95" i="1"/>
  <c r="D95" i="1"/>
  <c r="C96" i="1"/>
  <c r="D96" i="1"/>
  <c r="B96" i="1"/>
  <c r="B95" i="1"/>
  <c r="B93" i="1"/>
  <c r="B92" i="1"/>
  <c r="C209" i="1"/>
  <c r="C216" i="1" s="1"/>
  <c r="C222" i="1" s="1"/>
  <c r="C233" i="1" s="1"/>
  <c r="B209" i="1"/>
  <c r="B216" i="1" s="1"/>
  <c r="B222" i="1" s="1"/>
  <c r="B233" i="1" s="1"/>
  <c r="D209" i="1"/>
  <c r="D216" i="1" s="1"/>
  <c r="D222" i="1" s="1"/>
  <c r="D233" i="1" s="1"/>
  <c r="B162" i="2" l="1"/>
  <c r="E162" i="2" s="1"/>
  <c r="C118" i="1"/>
  <c r="B237" i="1"/>
  <c r="D118" i="1"/>
  <c r="D124" i="1" s="1"/>
  <c r="B118" i="1"/>
  <c r="B124" i="1" s="1"/>
  <c r="B125" i="1" s="1"/>
  <c r="B126" i="1" s="1"/>
  <c r="B138" i="1" s="1"/>
  <c r="C228" i="1"/>
  <c r="C234" i="1"/>
  <c r="B228" i="1"/>
  <c r="D228" i="1"/>
  <c r="D234" i="1"/>
  <c r="D237" i="1" s="1"/>
  <c r="C124" i="1"/>
  <c r="F30" i="9"/>
  <c r="J97" i="10"/>
  <c r="I97" i="10"/>
  <c r="H97" i="10"/>
  <c r="J94" i="10"/>
  <c r="I94" i="10"/>
  <c r="H94" i="10"/>
  <c r="J93" i="10"/>
  <c r="I93" i="10"/>
  <c r="H93" i="10"/>
  <c r="J92" i="10"/>
  <c r="I92" i="10"/>
  <c r="H92" i="10"/>
  <c r="J89" i="10"/>
  <c r="I89" i="10"/>
  <c r="J88" i="10"/>
  <c r="I88" i="10"/>
  <c r="H89" i="10"/>
  <c r="H88" i="10"/>
  <c r="J86" i="10"/>
  <c r="I86" i="10"/>
  <c r="H86" i="10"/>
  <c r="J85" i="10"/>
  <c r="I85" i="10"/>
  <c r="H85" i="10"/>
  <c r="J57" i="2"/>
  <c r="J104" i="2"/>
  <c r="I104" i="2"/>
  <c r="H104" i="2"/>
  <c r="J103" i="2"/>
  <c r="I103" i="2"/>
  <c r="H103" i="2"/>
  <c r="J97" i="2"/>
  <c r="I97" i="2"/>
  <c r="H97" i="2"/>
  <c r="J94" i="2"/>
  <c r="I94" i="2"/>
  <c r="H94" i="2"/>
  <c r="J93" i="2"/>
  <c r="I93" i="2"/>
  <c r="H93" i="2"/>
  <c r="J92" i="2"/>
  <c r="I92" i="2"/>
  <c r="H92" i="2"/>
  <c r="J89" i="2"/>
  <c r="J88" i="2"/>
  <c r="I89" i="2"/>
  <c r="I88" i="2"/>
  <c r="H89" i="2"/>
  <c r="H88" i="2"/>
  <c r="J86" i="2"/>
  <c r="I86" i="2"/>
  <c r="H86" i="2"/>
  <c r="J85" i="2"/>
  <c r="I85" i="2"/>
  <c r="H85" i="2"/>
  <c r="H28" i="2"/>
  <c r="Y67" i="1"/>
  <c r="E118" i="1" l="1"/>
  <c r="D149" i="1"/>
  <c r="D125" i="1"/>
  <c r="D126" i="1" s="1"/>
  <c r="D138" i="1" s="1"/>
  <c r="C237" i="1"/>
  <c r="C125" i="1"/>
  <c r="C126" i="1" s="1"/>
  <c r="C149" i="1"/>
  <c r="C138" i="1" l="1"/>
  <c r="E126" i="1"/>
  <c r="J53" i="1" l="1"/>
  <c r="J44" i="1"/>
  <c r="J38" i="1"/>
  <c r="J29" i="1"/>
  <c r="J21" i="1"/>
  <c r="J17" i="1"/>
  <c r="J22" i="1"/>
  <c r="I44" i="1"/>
  <c r="H44" i="1"/>
  <c r="I39" i="1"/>
  <c r="I29" i="1"/>
  <c r="I22" i="1"/>
  <c r="H53" i="1"/>
  <c r="H39" i="1"/>
  <c r="H29" i="1"/>
  <c r="H22" i="1"/>
  <c r="H67" i="1"/>
  <c r="I67" i="1"/>
  <c r="J67" i="1"/>
  <c r="B210" i="1" l="1"/>
  <c r="B212" i="1"/>
  <c r="B211" i="1"/>
  <c r="B184" i="1"/>
  <c r="B187" i="1" s="1"/>
  <c r="B192" i="1" s="1"/>
  <c r="C210" i="1"/>
  <c r="C212" i="1"/>
  <c r="C184" i="1"/>
  <c r="C187" i="1" s="1"/>
  <c r="C192" i="1" s="1"/>
  <c r="C211" i="1"/>
  <c r="D132" i="1"/>
  <c r="D133" i="1" s="1"/>
  <c r="C132" i="1"/>
  <c r="C133" i="1" s="1"/>
  <c r="I70" i="1"/>
  <c r="C202" i="1"/>
  <c r="H70" i="1"/>
  <c r="B202" i="1"/>
  <c r="B132" i="1"/>
  <c r="B133" i="1" s="1"/>
  <c r="D184" i="1"/>
  <c r="D187" i="1" s="1"/>
  <c r="D192" i="1" s="1"/>
  <c r="J70" i="1"/>
  <c r="D202" i="1"/>
  <c r="C241" i="1" s="1"/>
  <c r="B223" i="1"/>
  <c r="D223" i="1"/>
  <c r="J39" i="1"/>
  <c r="D211" i="1" s="1"/>
  <c r="I203" i="9"/>
  <c r="I202" i="9"/>
  <c r="I201" i="9"/>
  <c r="I200" i="9"/>
  <c r="F118" i="9"/>
  <c r="F177" i="9" s="1"/>
  <c r="F17" i="9"/>
  <c r="F24" i="9"/>
  <c r="F20" i="9"/>
  <c r="F14" i="9"/>
  <c r="F11" i="9"/>
  <c r="F12" i="9" s="1"/>
  <c r="K104" i="10"/>
  <c r="K103" i="10"/>
  <c r="F63" i="9" s="1"/>
  <c r="F155" i="9" s="1"/>
  <c r="H25" i="10"/>
  <c r="I25" i="10"/>
  <c r="J25" i="10"/>
  <c r="H26" i="10"/>
  <c r="I26" i="10"/>
  <c r="J26" i="10"/>
  <c r="G25" i="10"/>
  <c r="G26" i="10"/>
  <c r="F26" i="10"/>
  <c r="F25" i="10"/>
  <c r="J34" i="6"/>
  <c r="J21" i="6"/>
  <c r="J16" i="6"/>
  <c r="J11" i="6"/>
  <c r="F177" i="5"/>
  <c r="E133" i="1" l="1"/>
  <c r="L103" i="10"/>
  <c r="G63" i="9" s="1"/>
  <c r="G155" i="9" s="1"/>
  <c r="F15" i="9"/>
  <c r="D212" i="1"/>
  <c r="F22" i="9"/>
  <c r="F25" i="9" s="1"/>
  <c r="F27" i="9" s="1"/>
  <c r="D210" i="1"/>
  <c r="F21" i="9"/>
  <c r="E241" i="1"/>
  <c r="D241" i="1"/>
  <c r="D203" i="1"/>
  <c r="C242" i="1" s="1"/>
  <c r="D172" i="1"/>
  <c r="D178" i="1"/>
  <c r="D180" i="1" s="1"/>
  <c r="D101" i="1"/>
  <c r="D104" i="1" s="1"/>
  <c r="D109" i="1" s="1"/>
  <c r="D110" i="1" s="1"/>
  <c r="D143" i="1"/>
  <c r="D145" i="1" s="1"/>
  <c r="D148" i="1" s="1"/>
  <c r="D151" i="1" s="1"/>
  <c r="B172" i="1"/>
  <c r="B101" i="1"/>
  <c r="B104" i="1" s="1"/>
  <c r="B203" i="1"/>
  <c r="B178" i="1"/>
  <c r="B180" i="1" s="1"/>
  <c r="B143" i="1"/>
  <c r="B145" i="1" s="1"/>
  <c r="B148" i="1" s="1"/>
  <c r="B151" i="1" s="1"/>
  <c r="C143" i="1"/>
  <c r="C145" i="1" s="1"/>
  <c r="C148" i="1" s="1"/>
  <c r="C151" i="1" s="1"/>
  <c r="C178" i="1"/>
  <c r="C180" i="1" s="1"/>
  <c r="C101" i="1"/>
  <c r="C104" i="1" s="1"/>
  <c r="C109" i="1" s="1"/>
  <c r="C110" i="1" s="1"/>
  <c r="C137" i="1" s="1"/>
  <c r="C139" i="1" s="1"/>
  <c r="C203" i="1"/>
  <c r="C172" i="1"/>
  <c r="L104" i="10"/>
  <c r="G64" i="9" s="1"/>
  <c r="G156" i="9" s="1"/>
  <c r="F64" i="9"/>
  <c r="F156" i="9" s="1"/>
  <c r="I82" i="5"/>
  <c r="H82" i="5"/>
  <c r="J82" i="5" s="1"/>
  <c r="J92" i="5" s="1"/>
  <c r="K104" i="2"/>
  <c r="K103" i="2"/>
  <c r="F63" i="5" s="1"/>
  <c r="F20" i="5"/>
  <c r="F17" i="5"/>
  <c r="F14" i="5"/>
  <c r="F11" i="5"/>
  <c r="F21" i="5" s="1"/>
  <c r="F10" i="5"/>
  <c r="F155" i="5" l="1"/>
  <c r="C269" i="2"/>
  <c r="F12" i="5"/>
  <c r="F15" i="5" s="1"/>
  <c r="M103" i="10"/>
  <c r="H63" i="9" s="1"/>
  <c r="H155" i="9" s="1"/>
  <c r="E104" i="1"/>
  <c r="B109" i="1"/>
  <c r="B110" i="1" s="1"/>
  <c r="D242" i="1"/>
  <c r="E242" i="1"/>
  <c r="E180" i="1"/>
  <c r="D137" i="1"/>
  <c r="D139" i="1" s="1"/>
  <c r="C244" i="1"/>
  <c r="L103" i="2"/>
  <c r="M103" i="2" s="1"/>
  <c r="H63" i="5" s="1"/>
  <c r="H155" i="5" s="1"/>
  <c r="M104" i="10"/>
  <c r="H64" i="9" s="1"/>
  <c r="H156" i="9" s="1"/>
  <c r="F22" i="5"/>
  <c r="F24" i="5"/>
  <c r="F64" i="5"/>
  <c r="L104" i="2"/>
  <c r="G64" i="5" s="1"/>
  <c r="G156" i="5" s="1"/>
  <c r="T28" i="2"/>
  <c r="U28" i="2"/>
  <c r="V28" i="2"/>
  <c r="W28" i="2"/>
  <c r="S28" i="2"/>
  <c r="K28" i="2"/>
  <c r="L28" i="2"/>
  <c r="M28" i="2"/>
  <c r="N28" i="2"/>
  <c r="O28" i="2"/>
  <c r="I28" i="2"/>
  <c r="J28" i="2"/>
  <c r="N104" i="10" l="1"/>
  <c r="I64" i="9" s="1"/>
  <c r="I156" i="9" s="1"/>
  <c r="N103" i="10"/>
  <c r="I63" i="9" s="1"/>
  <c r="I155" i="9" s="1"/>
  <c r="D269" i="2"/>
  <c r="E269" i="2"/>
  <c r="F156" i="5"/>
  <c r="C273" i="2" s="1"/>
  <c r="C270" i="2"/>
  <c r="B137" i="1"/>
  <c r="B139" i="1" s="1"/>
  <c r="E139" i="1" s="1"/>
  <c r="E110" i="1"/>
  <c r="D244" i="1"/>
  <c r="E244" i="1"/>
  <c r="N103" i="2"/>
  <c r="I63" i="5" s="1"/>
  <c r="I155" i="5" s="1"/>
  <c r="G63" i="5"/>
  <c r="G155" i="5" s="1"/>
  <c r="J29" i="2"/>
  <c r="J28" i="10"/>
  <c r="I29" i="2"/>
  <c r="I28" i="10"/>
  <c r="F25" i="5"/>
  <c r="F27" i="5" s="1"/>
  <c r="G29" i="10"/>
  <c r="G28" i="10"/>
  <c r="H29" i="2"/>
  <c r="H28" i="10"/>
  <c r="M104" i="2"/>
  <c r="O77" i="1"/>
  <c r="N77" i="1"/>
  <c r="M77" i="1"/>
  <c r="O74" i="1"/>
  <c r="N74" i="1"/>
  <c r="M74" i="1"/>
  <c r="O73" i="1"/>
  <c r="N73" i="1"/>
  <c r="M73" i="1"/>
  <c r="O72" i="1"/>
  <c r="S69" i="1" s="1"/>
  <c r="AB69" i="1" s="1"/>
  <c r="N72" i="1"/>
  <c r="M72" i="1"/>
  <c r="M65" i="1"/>
  <c r="N65" i="1"/>
  <c r="O65" i="1"/>
  <c r="M66" i="1"/>
  <c r="N66" i="1"/>
  <c r="O66" i="1"/>
  <c r="S65" i="1" s="1"/>
  <c r="AB65" i="1" s="1"/>
  <c r="M68" i="1"/>
  <c r="N68" i="1"/>
  <c r="O68" i="1"/>
  <c r="M69" i="1"/>
  <c r="N69" i="1"/>
  <c r="O69" i="1"/>
  <c r="O104" i="10" l="1"/>
  <c r="J64" i="9" s="1"/>
  <c r="J156" i="9" s="1"/>
  <c r="O103" i="10"/>
  <c r="J63" i="9" s="1"/>
  <c r="J155" i="9" s="1"/>
  <c r="E273" i="2"/>
  <c r="D273" i="2"/>
  <c r="E270" i="2"/>
  <c r="D270" i="2"/>
  <c r="S66" i="1"/>
  <c r="AB66" i="1" s="1"/>
  <c r="H29" i="10"/>
  <c r="AB67" i="1"/>
  <c r="J29" i="10"/>
  <c r="I29" i="10"/>
  <c r="S70" i="1"/>
  <c r="AB70" i="1" s="1"/>
  <c r="P69" i="1"/>
  <c r="P68" i="1"/>
  <c r="V66" i="1" s="1"/>
  <c r="P73" i="1"/>
  <c r="P66" i="1"/>
  <c r="V65" i="1" s="1"/>
  <c r="P77" i="1"/>
  <c r="P72" i="1"/>
  <c r="P74" i="1"/>
  <c r="P65" i="1"/>
  <c r="O103" i="2"/>
  <c r="J63" i="5" s="1"/>
  <c r="J155" i="5" s="1"/>
  <c r="Z65" i="1"/>
  <c r="H64" i="5"/>
  <c r="H156" i="5" s="1"/>
  <c r="N104" i="2"/>
  <c r="I82" i="9"/>
  <c r="H82" i="9"/>
  <c r="J87" i="10"/>
  <c r="I87" i="10"/>
  <c r="H87" i="10"/>
  <c r="G87" i="10"/>
  <c r="G90" i="10" s="1"/>
  <c r="F87" i="10"/>
  <c r="F90" i="10" s="1"/>
  <c r="J75" i="10"/>
  <c r="H75" i="10"/>
  <c r="G75" i="10"/>
  <c r="F75" i="10"/>
  <c r="J74" i="10"/>
  <c r="I74" i="10"/>
  <c r="H74" i="10"/>
  <c r="G74" i="10"/>
  <c r="F74" i="10"/>
  <c r="J73" i="10"/>
  <c r="I73" i="10"/>
  <c r="H73" i="10"/>
  <c r="G73" i="10"/>
  <c r="F73" i="10"/>
  <c r="I72" i="10"/>
  <c r="H72" i="10"/>
  <c r="G72" i="10"/>
  <c r="F72" i="10"/>
  <c r="J66" i="10"/>
  <c r="I66" i="10"/>
  <c r="H66" i="10"/>
  <c r="G66" i="10"/>
  <c r="F66" i="10"/>
  <c r="J65" i="10"/>
  <c r="I65" i="10"/>
  <c r="H65" i="10"/>
  <c r="G65" i="10"/>
  <c r="F65" i="10"/>
  <c r="J64" i="10"/>
  <c r="I64" i="10"/>
  <c r="H64" i="10"/>
  <c r="G64" i="10"/>
  <c r="F64" i="10"/>
  <c r="J61" i="10"/>
  <c r="I61" i="10"/>
  <c r="H61" i="10"/>
  <c r="G61" i="10"/>
  <c r="F61" i="10"/>
  <c r="J60" i="10"/>
  <c r="I60" i="10"/>
  <c r="H60" i="10"/>
  <c r="G60" i="10"/>
  <c r="F60" i="10"/>
  <c r="J59" i="10"/>
  <c r="I59" i="10"/>
  <c r="H59" i="10"/>
  <c r="G59" i="10"/>
  <c r="F59" i="10"/>
  <c r="J58" i="10"/>
  <c r="I58" i="10"/>
  <c r="H58" i="10"/>
  <c r="G58" i="10"/>
  <c r="F58" i="10"/>
  <c r="J57" i="10"/>
  <c r="I57" i="10"/>
  <c r="H57" i="10"/>
  <c r="G57" i="10"/>
  <c r="F57" i="10"/>
  <c r="J51" i="10"/>
  <c r="I51" i="10"/>
  <c r="H51" i="10"/>
  <c r="G51" i="10"/>
  <c r="F51" i="10"/>
  <c r="J50" i="10"/>
  <c r="I50" i="10"/>
  <c r="H50" i="10"/>
  <c r="G50" i="10"/>
  <c r="F50" i="10"/>
  <c r="J49" i="10"/>
  <c r="I49" i="10"/>
  <c r="H49" i="10"/>
  <c r="G49" i="10"/>
  <c r="F49" i="10"/>
  <c r="J48" i="10"/>
  <c r="I48" i="10"/>
  <c r="H48" i="10"/>
  <c r="G48" i="10"/>
  <c r="F48" i="10"/>
  <c r="J47" i="10"/>
  <c r="I47" i="10"/>
  <c r="H47" i="10"/>
  <c r="G47" i="10"/>
  <c r="F47" i="10"/>
  <c r="J44" i="10"/>
  <c r="I44" i="10"/>
  <c r="H44" i="10"/>
  <c r="G44" i="10"/>
  <c r="F44" i="10"/>
  <c r="J43" i="10"/>
  <c r="I43" i="10"/>
  <c r="H43" i="10"/>
  <c r="G43" i="10"/>
  <c r="F43" i="10"/>
  <c r="J42" i="10"/>
  <c r="I42" i="10"/>
  <c r="H42" i="10"/>
  <c r="G42" i="10"/>
  <c r="F42" i="10"/>
  <c r="J41" i="10"/>
  <c r="I41" i="10"/>
  <c r="H41" i="10"/>
  <c r="G41" i="10"/>
  <c r="F41" i="10"/>
  <c r="J40" i="10"/>
  <c r="I40" i="10"/>
  <c r="H40" i="10"/>
  <c r="W16" i="10"/>
  <c r="V16" i="10"/>
  <c r="U16" i="10"/>
  <c r="T16" i="10"/>
  <c r="S16" i="10"/>
  <c r="A6" i="10"/>
  <c r="J87" i="2"/>
  <c r="J90" i="2" s="1"/>
  <c r="J96" i="2" s="1"/>
  <c r="J98" i="2" s="1"/>
  <c r="I87" i="2"/>
  <c r="I90" i="2" s="1"/>
  <c r="I96" i="2" s="1"/>
  <c r="I98" i="2" s="1"/>
  <c r="H87" i="2"/>
  <c r="H90" i="2" s="1"/>
  <c r="H96" i="2" s="1"/>
  <c r="H98" i="2" s="1"/>
  <c r="J75" i="2"/>
  <c r="H75" i="2"/>
  <c r="J74" i="2"/>
  <c r="I74" i="2"/>
  <c r="H74" i="2"/>
  <c r="J73" i="2"/>
  <c r="I73" i="2"/>
  <c r="H73" i="2"/>
  <c r="J72" i="2"/>
  <c r="I72" i="2"/>
  <c r="H72" i="2"/>
  <c r="J66" i="2"/>
  <c r="I66" i="2"/>
  <c r="H66" i="2"/>
  <c r="J65" i="2"/>
  <c r="I65" i="2"/>
  <c r="H65" i="2"/>
  <c r="J64" i="2"/>
  <c r="I64" i="2"/>
  <c r="H64" i="2"/>
  <c r="J61" i="2"/>
  <c r="I61" i="2"/>
  <c r="H61" i="2"/>
  <c r="J60" i="2"/>
  <c r="I60" i="2"/>
  <c r="H60" i="2"/>
  <c r="J59" i="2"/>
  <c r="I59" i="2"/>
  <c r="H59" i="2"/>
  <c r="J58" i="2"/>
  <c r="I58" i="2"/>
  <c r="H58" i="2"/>
  <c r="I57" i="2"/>
  <c r="H57" i="2"/>
  <c r="J51" i="2"/>
  <c r="I51" i="2"/>
  <c r="H51" i="2"/>
  <c r="J50" i="2"/>
  <c r="I50" i="2"/>
  <c r="H50" i="2"/>
  <c r="J49" i="2"/>
  <c r="I49" i="2"/>
  <c r="H49" i="2"/>
  <c r="J48" i="2"/>
  <c r="I48" i="2"/>
  <c r="H48" i="2"/>
  <c r="J47" i="2"/>
  <c r="I47" i="2"/>
  <c r="H47" i="2"/>
  <c r="J44" i="2"/>
  <c r="I44" i="2"/>
  <c r="H44" i="2"/>
  <c r="J43" i="2"/>
  <c r="I43" i="2"/>
  <c r="H43" i="2"/>
  <c r="J42" i="2"/>
  <c r="I42" i="2"/>
  <c r="H42" i="2"/>
  <c r="J41" i="2"/>
  <c r="I41" i="2"/>
  <c r="H41" i="2"/>
  <c r="J40" i="2"/>
  <c r="I40" i="2"/>
  <c r="H40" i="2"/>
  <c r="J24" i="2"/>
  <c r="W15" i="2" s="1"/>
  <c r="I24" i="2"/>
  <c r="H24" i="2"/>
  <c r="O67" i="1"/>
  <c r="J63" i="1"/>
  <c r="I63" i="1"/>
  <c r="H63" i="1"/>
  <c r="A59" i="1"/>
  <c r="H90" i="10" l="1"/>
  <c r="I90" i="10"/>
  <c r="J90" i="10"/>
  <c r="D173" i="2"/>
  <c r="D174" i="2" s="1"/>
  <c r="D208" i="2"/>
  <c r="D210" i="2" s="1"/>
  <c r="D215" i="2" s="1"/>
  <c r="D216" i="2" s="1"/>
  <c r="E216" i="2" s="1"/>
  <c r="B188" i="2" s="1"/>
  <c r="C188" i="2" s="1"/>
  <c r="D188" i="2" s="1"/>
  <c r="V67" i="1"/>
  <c r="Y68" i="1"/>
  <c r="Y72" i="1" s="1"/>
  <c r="V64" i="1"/>
  <c r="V68" i="1" s="1"/>
  <c r="V69" i="1"/>
  <c r="V71" i="1"/>
  <c r="V70" i="1"/>
  <c r="S64" i="1"/>
  <c r="AB64" i="1" s="1"/>
  <c r="AB68" i="1" s="1"/>
  <c r="S71" i="1"/>
  <c r="AB71" i="1" s="1"/>
  <c r="K24" i="2"/>
  <c r="J83" i="2"/>
  <c r="J102" i="2" s="1"/>
  <c r="I38" i="2"/>
  <c r="K72" i="2"/>
  <c r="L72" i="2" s="1"/>
  <c r="M72" i="2" s="1"/>
  <c r="N72" i="2" s="1"/>
  <c r="O72" i="2" s="1"/>
  <c r="H24" i="10"/>
  <c r="U15" i="10" s="1"/>
  <c r="F9" i="5"/>
  <c r="F9" i="9" s="1"/>
  <c r="E74" i="5"/>
  <c r="F33" i="5"/>
  <c r="F113" i="9"/>
  <c r="J82" i="9"/>
  <c r="J92" i="9" s="1"/>
  <c r="F112" i="5"/>
  <c r="F171" i="5" s="1"/>
  <c r="F112" i="9"/>
  <c r="F171" i="9" s="1"/>
  <c r="F113" i="5"/>
  <c r="F172" i="5" s="1"/>
  <c r="S15" i="2"/>
  <c r="E74" i="9"/>
  <c r="F33" i="9"/>
  <c r="U15" i="2"/>
  <c r="M70" i="1"/>
  <c r="M67" i="1"/>
  <c r="J76" i="1"/>
  <c r="O70" i="1"/>
  <c r="I64" i="5"/>
  <c r="I156" i="5" s="1"/>
  <c r="O104" i="2"/>
  <c r="J64" i="5" s="1"/>
  <c r="J156" i="5" s="1"/>
  <c r="F52" i="10"/>
  <c r="J52" i="10"/>
  <c r="H62" i="2"/>
  <c r="F46" i="1"/>
  <c r="M50" i="1"/>
  <c r="M51" i="1"/>
  <c r="M53" i="1"/>
  <c r="M52" i="1"/>
  <c r="M49" i="1"/>
  <c r="N70" i="1"/>
  <c r="N67" i="1"/>
  <c r="H45" i="10"/>
  <c r="G31" i="1"/>
  <c r="H67" i="2"/>
  <c r="J46" i="1"/>
  <c r="I45" i="2"/>
  <c r="J76" i="2"/>
  <c r="O52" i="1"/>
  <c r="O49" i="1"/>
  <c r="O53" i="1"/>
  <c r="O50" i="1"/>
  <c r="O51" i="1"/>
  <c r="J24" i="10"/>
  <c r="J38" i="10" s="1"/>
  <c r="H76" i="1"/>
  <c r="I52" i="10"/>
  <c r="I52" i="2"/>
  <c r="I62" i="2"/>
  <c r="I62" i="10"/>
  <c r="H83" i="10"/>
  <c r="H102" i="10" s="1"/>
  <c r="H83" i="2"/>
  <c r="H102" i="2" s="1"/>
  <c r="J82" i="1"/>
  <c r="J76" i="10"/>
  <c r="H31" i="1"/>
  <c r="J62" i="10"/>
  <c r="J62" i="2"/>
  <c r="F111" i="5" s="1"/>
  <c r="F170" i="5" s="1"/>
  <c r="I67" i="2"/>
  <c r="I67" i="10"/>
  <c r="G46" i="1"/>
  <c r="I82" i="1"/>
  <c r="I83" i="10"/>
  <c r="I102" i="10" s="1"/>
  <c r="J52" i="2"/>
  <c r="D155" i="2" s="1"/>
  <c r="D156" i="2" s="1"/>
  <c r="E156" i="2" s="1"/>
  <c r="G52" i="10"/>
  <c r="H62" i="10"/>
  <c r="H67" i="10"/>
  <c r="J83" i="10"/>
  <c r="J102" i="10" s="1"/>
  <c r="J45" i="2"/>
  <c r="J45" i="10"/>
  <c r="I31" i="1"/>
  <c r="J67" i="10"/>
  <c r="J67" i="2"/>
  <c r="H46" i="1"/>
  <c r="G76" i="10"/>
  <c r="T15" i="2"/>
  <c r="H45" i="2"/>
  <c r="H52" i="2"/>
  <c r="H52" i="10"/>
  <c r="F31" i="1"/>
  <c r="I46" i="1"/>
  <c r="H76" i="10"/>
  <c r="H76" i="2"/>
  <c r="H82" i="1"/>
  <c r="I83" i="2"/>
  <c r="I102" i="2" s="1"/>
  <c r="I45" i="10"/>
  <c r="F76" i="10"/>
  <c r="V15" i="2"/>
  <c r="J38" i="2"/>
  <c r="I24" i="10"/>
  <c r="H38" i="2"/>
  <c r="H96" i="10" l="1"/>
  <c r="I96" i="10"/>
  <c r="F111" i="9"/>
  <c r="F170" i="9" s="1"/>
  <c r="B210" i="10"/>
  <c r="B215" i="10" s="1"/>
  <c r="B141" i="10"/>
  <c r="J96" i="10"/>
  <c r="B257" i="10"/>
  <c r="F34" i="5"/>
  <c r="F40" i="5" s="1"/>
  <c r="C246" i="1" s="1"/>
  <c r="C274" i="2"/>
  <c r="V72" i="1"/>
  <c r="N22" i="1"/>
  <c r="C224" i="1"/>
  <c r="C157" i="1"/>
  <c r="M29" i="1"/>
  <c r="B157" i="1"/>
  <c r="B224" i="1"/>
  <c r="O76" i="1"/>
  <c r="D173" i="1"/>
  <c r="D174" i="1" s="1"/>
  <c r="D191" i="1" s="1"/>
  <c r="D193" i="1" s="1"/>
  <c r="AB72" i="1"/>
  <c r="C217" i="1"/>
  <c r="C218" i="1"/>
  <c r="C219" i="1"/>
  <c r="M76" i="1"/>
  <c r="B173" i="1"/>
  <c r="B174" i="1" s="1"/>
  <c r="O29" i="1"/>
  <c r="D224" i="1"/>
  <c r="D157" i="1"/>
  <c r="M44" i="1"/>
  <c r="B217" i="1"/>
  <c r="B219" i="1"/>
  <c r="B218" i="1"/>
  <c r="O39" i="1"/>
  <c r="D217" i="1"/>
  <c r="D219" i="1"/>
  <c r="D218" i="1"/>
  <c r="X15" i="2"/>
  <c r="X16" i="2" s="1"/>
  <c r="L24" i="2"/>
  <c r="S24" i="2"/>
  <c r="K38" i="2"/>
  <c r="K83" i="2" s="1"/>
  <c r="E10" i="6" s="1"/>
  <c r="K24" i="10"/>
  <c r="X15" i="10" s="1"/>
  <c r="X16" i="10" s="1"/>
  <c r="Y24" i="2"/>
  <c r="F32" i="5"/>
  <c r="F54" i="5" s="1"/>
  <c r="F96" i="5" s="1"/>
  <c r="F128" i="5" s="1"/>
  <c r="F138" i="5" s="1"/>
  <c r="F153" i="5" s="1"/>
  <c r="F159" i="5" s="1"/>
  <c r="W15" i="10"/>
  <c r="H38" i="10"/>
  <c r="H69" i="2"/>
  <c r="H78" i="2" s="1"/>
  <c r="S67" i="1"/>
  <c r="S68" i="1" s="1"/>
  <c r="Z66" i="1"/>
  <c r="S15" i="10"/>
  <c r="P67" i="1"/>
  <c r="P70" i="1"/>
  <c r="H54" i="10"/>
  <c r="F116" i="9"/>
  <c r="F34" i="9"/>
  <c r="F41" i="9" s="1"/>
  <c r="J54" i="2"/>
  <c r="I54" i="2"/>
  <c r="N29" i="1"/>
  <c r="I54" i="10"/>
  <c r="F116" i="5"/>
  <c r="F172" i="9"/>
  <c r="J54" i="10"/>
  <c r="I76" i="1"/>
  <c r="N37" i="1"/>
  <c r="N36" i="1"/>
  <c r="N41" i="1"/>
  <c r="N34" i="1"/>
  <c r="N38" i="1"/>
  <c r="N42" i="1"/>
  <c r="N35" i="1"/>
  <c r="N43" i="1"/>
  <c r="G69" i="10"/>
  <c r="O24" i="1"/>
  <c r="O28" i="1"/>
  <c r="O20" i="1"/>
  <c r="O19" i="1"/>
  <c r="O25" i="1"/>
  <c r="O21" i="1"/>
  <c r="O17" i="1"/>
  <c r="O26" i="1"/>
  <c r="O18" i="1"/>
  <c r="O27" i="1"/>
  <c r="M41" i="1"/>
  <c r="M34" i="1"/>
  <c r="M38" i="1"/>
  <c r="M42" i="1"/>
  <c r="M35" i="1"/>
  <c r="M37" i="1"/>
  <c r="M43" i="1"/>
  <c r="M36" i="1"/>
  <c r="M26" i="1"/>
  <c r="M18" i="1"/>
  <c r="M17" i="1"/>
  <c r="M20" i="1"/>
  <c r="M25" i="1"/>
  <c r="M27" i="1"/>
  <c r="M19" i="1"/>
  <c r="M21" i="1"/>
  <c r="M24" i="1"/>
  <c r="M28" i="1"/>
  <c r="N44" i="1"/>
  <c r="N39" i="1"/>
  <c r="M22" i="1"/>
  <c r="M39" i="1"/>
  <c r="N25" i="1"/>
  <c r="N21" i="1"/>
  <c r="N26" i="1"/>
  <c r="N18" i="1"/>
  <c r="N17" i="1"/>
  <c r="N19" i="1"/>
  <c r="N28" i="1"/>
  <c r="N27" i="1"/>
  <c r="N24" i="1"/>
  <c r="N20" i="1"/>
  <c r="J78" i="1"/>
  <c r="J55" i="1"/>
  <c r="J57" i="1" s="1"/>
  <c r="O43" i="1"/>
  <c r="O36" i="1"/>
  <c r="O37" i="1"/>
  <c r="O42" i="1"/>
  <c r="O35" i="1"/>
  <c r="O41" i="1"/>
  <c r="O34" i="1"/>
  <c r="O38" i="1"/>
  <c r="F55" i="1"/>
  <c r="F57" i="1" s="1"/>
  <c r="O44" i="1"/>
  <c r="O22" i="1"/>
  <c r="H54" i="2"/>
  <c r="H55" i="1"/>
  <c r="H57" i="1" s="1"/>
  <c r="H69" i="10"/>
  <c r="J69" i="2"/>
  <c r="J78" i="2" s="1"/>
  <c r="I38" i="10"/>
  <c r="V15" i="10"/>
  <c r="T15" i="10"/>
  <c r="G55" i="1"/>
  <c r="G57" i="1" s="1"/>
  <c r="J69" i="10"/>
  <c r="I69" i="10"/>
  <c r="F69" i="10"/>
  <c r="I69" i="2"/>
  <c r="H78" i="1"/>
  <c r="J98" i="10" l="1"/>
  <c r="B147" i="10"/>
  <c r="B148" i="10" s="1"/>
  <c r="B149" i="10" s="1"/>
  <c r="I98" i="10"/>
  <c r="H78" i="10"/>
  <c r="H98" i="10"/>
  <c r="J78" i="10"/>
  <c r="D274" i="2"/>
  <c r="E274" i="2"/>
  <c r="D240" i="2"/>
  <c r="D182" i="2"/>
  <c r="B191" i="1"/>
  <c r="B193" i="1" s="1"/>
  <c r="D205" i="1"/>
  <c r="C251" i="1" s="1"/>
  <c r="D158" i="1"/>
  <c r="D159" i="1" s="1"/>
  <c r="D91" i="1"/>
  <c r="D94" i="1" s="1"/>
  <c r="D97" i="1" s="1"/>
  <c r="D204" i="1"/>
  <c r="C243" i="1" s="1"/>
  <c r="B91" i="1"/>
  <c r="B94" i="1" s="1"/>
  <c r="B97" i="1" s="1"/>
  <c r="B158" i="1"/>
  <c r="B159" i="1" s="1"/>
  <c r="B205" i="1"/>
  <c r="B204" i="1"/>
  <c r="N76" i="1"/>
  <c r="P76" i="1" s="1"/>
  <c r="C173" i="1"/>
  <c r="C174" i="1" s="1"/>
  <c r="C191" i="1" s="1"/>
  <c r="C193" i="1" s="1"/>
  <c r="E246" i="1"/>
  <c r="D246" i="1"/>
  <c r="S72" i="1"/>
  <c r="K38" i="10"/>
  <c r="K83" i="10" s="1"/>
  <c r="K102" i="10" s="1"/>
  <c r="G32" i="5"/>
  <c r="G54" i="5" s="1"/>
  <c r="F10" i="6" s="1"/>
  <c r="L24" i="10"/>
  <c r="L38" i="10" s="1"/>
  <c r="L83" i="10" s="1"/>
  <c r="L102" i="10" s="1"/>
  <c r="Y15" i="2"/>
  <c r="Y16" i="2" s="1"/>
  <c r="Z24" i="2"/>
  <c r="K102" i="2"/>
  <c r="L38" i="2"/>
  <c r="L83" i="2" s="1"/>
  <c r="L102" i="2" s="1"/>
  <c r="M24" i="2"/>
  <c r="AA24" i="2" s="1"/>
  <c r="T24" i="2"/>
  <c r="F41" i="5"/>
  <c r="F40" i="9"/>
  <c r="F42" i="9" s="1"/>
  <c r="J80" i="10"/>
  <c r="H80" i="10"/>
  <c r="I78" i="1"/>
  <c r="J80" i="2"/>
  <c r="F119" i="5"/>
  <c r="F175" i="5"/>
  <c r="F175" i="9"/>
  <c r="F119" i="9"/>
  <c r="O78" i="1"/>
  <c r="M78" i="1"/>
  <c r="F32" i="9"/>
  <c r="F54" i="9" s="1"/>
  <c r="F96" i="9" s="1"/>
  <c r="F128" i="9" s="1"/>
  <c r="F138" i="9" s="1"/>
  <c r="F153" i="9" s="1"/>
  <c r="F159" i="9" s="1"/>
  <c r="E15" i="6"/>
  <c r="E20" i="6" s="1"/>
  <c r="N15" i="1"/>
  <c r="M63" i="1"/>
  <c r="H80" i="2"/>
  <c r="B161" i="10" l="1"/>
  <c r="C172" i="10"/>
  <c r="E182" i="2"/>
  <c r="B187" i="2" s="1"/>
  <c r="C158" i="1"/>
  <c r="C159" i="1" s="1"/>
  <c r="C91" i="1"/>
  <c r="C94" i="1" s="1"/>
  <c r="C204" i="1"/>
  <c r="D251" i="1"/>
  <c r="E251" i="1"/>
  <c r="E193" i="1"/>
  <c r="B165" i="1" s="1"/>
  <c r="C165" i="1" s="1"/>
  <c r="D165" i="1" s="1"/>
  <c r="E174" i="1"/>
  <c r="D243" i="1"/>
  <c r="E243" i="1"/>
  <c r="F42" i="5"/>
  <c r="C247" i="1"/>
  <c r="M24" i="10"/>
  <c r="M38" i="10" s="1"/>
  <c r="M83" i="10" s="1"/>
  <c r="M102" i="10" s="1"/>
  <c r="G96" i="5"/>
  <c r="G128" i="5" s="1"/>
  <c r="G138" i="5" s="1"/>
  <c r="G153" i="5" s="1"/>
  <c r="G159" i="5" s="1"/>
  <c r="M38" i="2"/>
  <c r="M83" i="2" s="1"/>
  <c r="M102" i="2" s="1"/>
  <c r="Y15" i="10"/>
  <c r="Y16" i="10" s="1"/>
  <c r="H32" i="5"/>
  <c r="H54" i="5" s="1"/>
  <c r="G10" i="6" s="1"/>
  <c r="Z15" i="2"/>
  <c r="Z16" i="2" s="1"/>
  <c r="N24" i="2"/>
  <c r="I32" i="5" s="1"/>
  <c r="I54" i="5" s="1"/>
  <c r="U24" i="2"/>
  <c r="I27" i="2"/>
  <c r="I52" i="1"/>
  <c r="J27" i="2"/>
  <c r="H27" i="10"/>
  <c r="N78" i="1"/>
  <c r="P78" i="1" s="1"/>
  <c r="G188" i="9"/>
  <c r="G191" i="9"/>
  <c r="F178" i="9"/>
  <c r="G189" i="9"/>
  <c r="G190" i="9"/>
  <c r="G188" i="5"/>
  <c r="G191" i="5"/>
  <c r="G190" i="5"/>
  <c r="F178" i="5"/>
  <c r="G189" i="5"/>
  <c r="G27" i="10"/>
  <c r="N63" i="1"/>
  <c r="O15" i="1"/>
  <c r="O63" i="1" s="1"/>
  <c r="E31" i="6"/>
  <c r="E33" i="6"/>
  <c r="G32" i="9"/>
  <c r="G54" i="9" s="1"/>
  <c r="G96" i="9" s="1"/>
  <c r="G128" i="9" s="1"/>
  <c r="G138" i="9" s="1"/>
  <c r="G153" i="9" s="1"/>
  <c r="G159" i="9" s="1"/>
  <c r="F15" i="6"/>
  <c r="F20" i="6" s="1"/>
  <c r="C97" i="1" l="1"/>
  <c r="E97" i="1" s="1"/>
  <c r="C187" i="2"/>
  <c r="B189" i="2"/>
  <c r="E159" i="1"/>
  <c r="E247" i="1"/>
  <c r="D247" i="1"/>
  <c r="N38" i="2"/>
  <c r="N83" i="2" s="1"/>
  <c r="N102" i="2" s="1"/>
  <c r="Z15" i="10"/>
  <c r="Z16" i="10" s="1"/>
  <c r="V24" i="2"/>
  <c r="O24" i="2"/>
  <c r="AA15" i="2"/>
  <c r="AA16" i="2" s="1"/>
  <c r="N24" i="10"/>
  <c r="N38" i="10" s="1"/>
  <c r="N83" i="10" s="1"/>
  <c r="N102" i="10" s="1"/>
  <c r="AB24" i="2"/>
  <c r="H96" i="5"/>
  <c r="H128" i="5" s="1"/>
  <c r="H138" i="5" s="1"/>
  <c r="H153" i="5" s="1"/>
  <c r="H159" i="5" s="1"/>
  <c r="N27" i="2"/>
  <c r="J27" i="10"/>
  <c r="I53" i="1"/>
  <c r="I75" i="10"/>
  <c r="I75" i="2"/>
  <c r="K27" i="2"/>
  <c r="L27" i="2"/>
  <c r="M27" i="2"/>
  <c r="I27" i="10"/>
  <c r="Z28" i="2"/>
  <c r="L29" i="2" s="1"/>
  <c r="AA28" i="2"/>
  <c r="M29" i="2" s="1"/>
  <c r="Y28" i="2"/>
  <c r="K29" i="2" s="1"/>
  <c r="AC28" i="2"/>
  <c r="O29" i="2" s="1"/>
  <c r="I32" i="6" s="1"/>
  <c r="I35" i="6" s="1"/>
  <c r="AB28" i="2"/>
  <c r="N29" i="2" s="1"/>
  <c r="H32" i="6" s="1"/>
  <c r="H35" i="6" s="1"/>
  <c r="G15" i="6"/>
  <c r="G20" i="6" s="1"/>
  <c r="H32" i="9"/>
  <c r="H54" i="9" s="1"/>
  <c r="H96" i="9" s="1"/>
  <c r="H128" i="9" s="1"/>
  <c r="H138" i="9" s="1"/>
  <c r="H153" i="9" s="1"/>
  <c r="H159" i="9" s="1"/>
  <c r="H10" i="6"/>
  <c r="I96" i="5"/>
  <c r="I128" i="5" s="1"/>
  <c r="I138" i="5" s="1"/>
  <c r="I153" i="5" s="1"/>
  <c r="I159" i="5" s="1"/>
  <c r="F31" i="6"/>
  <c r="F33" i="6"/>
  <c r="D187" i="2" l="1"/>
  <c r="D189" i="2" s="1"/>
  <c r="C189" i="2"/>
  <c r="E32" i="6"/>
  <c r="K64" i="2"/>
  <c r="G32" i="6"/>
  <c r="G35" i="6" s="1"/>
  <c r="F32" i="6"/>
  <c r="F35" i="6" s="1"/>
  <c r="O29" i="10"/>
  <c r="N29" i="10"/>
  <c r="C223" i="1"/>
  <c r="C205" i="1"/>
  <c r="N52" i="1"/>
  <c r="B164" i="1"/>
  <c r="C161" i="1"/>
  <c r="C162" i="1"/>
  <c r="W24" i="2"/>
  <c r="O24" i="10"/>
  <c r="O38" i="10" s="1"/>
  <c r="O83" i="10" s="1"/>
  <c r="O102" i="10" s="1"/>
  <c r="AA15" i="10"/>
  <c r="AA16" i="10" s="1"/>
  <c r="AC24" i="2"/>
  <c r="J32" i="5"/>
  <c r="J54" i="5" s="1"/>
  <c r="I10" i="6" s="1"/>
  <c r="O27" i="2"/>
  <c r="O38" i="2"/>
  <c r="O83" i="2" s="1"/>
  <c r="O102" i="2" s="1"/>
  <c r="AB15" i="2"/>
  <c r="AB16" i="2" s="1"/>
  <c r="N51" i="1"/>
  <c r="N50" i="1"/>
  <c r="I76" i="10"/>
  <c r="N49" i="1"/>
  <c r="N53" i="1"/>
  <c r="I76" i="2"/>
  <c r="I78" i="2" s="1"/>
  <c r="I80" i="2" s="1"/>
  <c r="I55" i="1"/>
  <c r="I57" i="1" s="1"/>
  <c r="E35" i="6"/>
  <c r="K85" i="2"/>
  <c r="K50" i="2"/>
  <c r="L50" i="2" s="1"/>
  <c r="M50" i="2" s="1"/>
  <c r="N50" i="2" s="1"/>
  <c r="O50" i="2" s="1"/>
  <c r="K40" i="2"/>
  <c r="K58" i="2"/>
  <c r="L58" i="2" s="1"/>
  <c r="M58" i="2" s="1"/>
  <c r="N58" i="2" s="1"/>
  <c r="O58" i="2" s="1"/>
  <c r="K42" i="2"/>
  <c r="K51" i="2"/>
  <c r="L51" i="2" s="1"/>
  <c r="M51" i="2" s="1"/>
  <c r="N51" i="2" s="1"/>
  <c r="O51" i="2" s="1"/>
  <c r="K65" i="2"/>
  <c r="L65" i="2" s="1"/>
  <c r="M65" i="2" s="1"/>
  <c r="N65" i="2" s="1"/>
  <c r="O65" i="2" s="1"/>
  <c r="K61" i="2"/>
  <c r="L61" i="2" s="1"/>
  <c r="M61" i="2" s="1"/>
  <c r="N61" i="2" s="1"/>
  <c r="O61" i="2" s="1"/>
  <c r="K59" i="2"/>
  <c r="L59" i="2" s="1"/>
  <c r="M59" i="2" s="1"/>
  <c r="N59" i="2" s="1"/>
  <c r="O59" i="2" s="1"/>
  <c r="K44" i="2"/>
  <c r="L44" i="2" s="1"/>
  <c r="M44" i="2" s="1"/>
  <c r="N44" i="2" s="1"/>
  <c r="O44" i="2" s="1"/>
  <c r="K49" i="2"/>
  <c r="K41" i="2"/>
  <c r="L41" i="2" s="1"/>
  <c r="M41" i="2" s="1"/>
  <c r="N41" i="2" s="1"/>
  <c r="O41" i="2" s="1"/>
  <c r="K47" i="2"/>
  <c r="K48" i="2"/>
  <c r="L48" i="2" s="1"/>
  <c r="M48" i="2" s="1"/>
  <c r="N48" i="2" s="1"/>
  <c r="O48" i="2" s="1"/>
  <c r="K66" i="2"/>
  <c r="L66" i="2" s="1"/>
  <c r="M66" i="2" s="1"/>
  <c r="N66" i="2" s="1"/>
  <c r="O66" i="2" s="1"/>
  <c r="K57" i="2"/>
  <c r="K43" i="2"/>
  <c r="L43" i="2" s="1"/>
  <c r="M43" i="2" s="1"/>
  <c r="N43" i="2" s="1"/>
  <c r="O43" i="2" s="1"/>
  <c r="K60" i="2"/>
  <c r="L60" i="2" s="1"/>
  <c r="M60" i="2" s="1"/>
  <c r="N60" i="2" s="1"/>
  <c r="O60" i="2" s="1"/>
  <c r="K73" i="2"/>
  <c r="H15" i="6"/>
  <c r="H20" i="6" s="1"/>
  <c r="I32" i="9"/>
  <c r="I54" i="9" s="1"/>
  <c r="I96" i="9" s="1"/>
  <c r="I128" i="9" s="1"/>
  <c r="I138" i="9" s="1"/>
  <c r="I153" i="9" s="1"/>
  <c r="I159" i="9" s="1"/>
  <c r="G33" i="6"/>
  <c r="G31" i="6"/>
  <c r="I78" i="10" l="1"/>
  <c r="I80" i="10" s="1"/>
  <c r="L29" i="10"/>
  <c r="M29" i="10"/>
  <c r="C164" i="1"/>
  <c r="B166" i="1"/>
  <c r="AB15" i="10"/>
  <c r="AB16" i="10" s="1"/>
  <c r="J96" i="5"/>
  <c r="J128" i="5" s="1"/>
  <c r="J138" i="5" s="1"/>
  <c r="J153" i="5" s="1"/>
  <c r="J159" i="5" s="1"/>
  <c r="J79" i="5"/>
  <c r="L73" i="2"/>
  <c r="M73" i="2" s="1"/>
  <c r="N73" i="2" s="1"/>
  <c r="O73" i="2" s="1"/>
  <c r="L40" i="2"/>
  <c r="K45" i="2"/>
  <c r="K93" i="2"/>
  <c r="L85" i="2"/>
  <c r="K89" i="2"/>
  <c r="F57" i="5"/>
  <c r="K86" i="2"/>
  <c r="E12" i="6" s="1"/>
  <c r="K88" i="2"/>
  <c r="E17" i="6" s="1"/>
  <c r="K92" i="2"/>
  <c r="K29" i="10"/>
  <c r="J35" i="6"/>
  <c r="E36" i="6"/>
  <c r="K52" i="2"/>
  <c r="L47" i="2"/>
  <c r="F140" i="5"/>
  <c r="L57" i="2"/>
  <c r="K62" i="2"/>
  <c r="G33" i="5"/>
  <c r="F74" i="5"/>
  <c r="F68" i="5" s="1"/>
  <c r="L42" i="2"/>
  <c r="L64" i="2"/>
  <c r="K67" i="2"/>
  <c r="L49" i="2"/>
  <c r="F69" i="5"/>
  <c r="H33" i="6"/>
  <c r="H31" i="6"/>
  <c r="J32" i="9"/>
  <c r="J54" i="9" s="1"/>
  <c r="I15" i="6"/>
  <c r="I20" i="6" s="1"/>
  <c r="K49" i="10" l="1"/>
  <c r="K73" i="10"/>
  <c r="L73" i="10" s="1"/>
  <c r="M73" i="10" s="1"/>
  <c r="N73" i="10" s="1"/>
  <c r="O73" i="10" s="1"/>
  <c r="E26" i="6"/>
  <c r="C166" i="1"/>
  <c r="D164" i="1"/>
  <c r="D166" i="1" s="1"/>
  <c r="K72" i="10"/>
  <c r="L72" i="10" s="1"/>
  <c r="M72" i="10" s="1"/>
  <c r="N72" i="10" s="1"/>
  <c r="O72" i="10" s="1"/>
  <c r="E22" i="6"/>
  <c r="E28" i="6" s="1"/>
  <c r="E40" i="6" s="1"/>
  <c r="K69" i="2"/>
  <c r="F130" i="5" s="1"/>
  <c r="K54" i="2"/>
  <c r="F139" i="5" s="1"/>
  <c r="F141" i="5" s="1"/>
  <c r="F142" i="5" s="1"/>
  <c r="K87" i="2"/>
  <c r="K90" i="2" s="1"/>
  <c r="K96" i="2" s="1"/>
  <c r="M49" i="2"/>
  <c r="G69" i="5"/>
  <c r="M40" i="2"/>
  <c r="L45" i="2"/>
  <c r="L67" i="2"/>
  <c r="M64" i="2"/>
  <c r="G140" i="5"/>
  <c r="L62" i="2"/>
  <c r="M57" i="2"/>
  <c r="H33" i="5"/>
  <c r="E27" i="6"/>
  <c r="E39" i="6" s="1"/>
  <c r="M47" i="2"/>
  <c r="L52" i="2"/>
  <c r="G74" i="5"/>
  <c r="G68" i="5" s="1"/>
  <c r="M42" i="2"/>
  <c r="K85" i="10"/>
  <c r="H25" i="15" s="1"/>
  <c r="F36" i="6"/>
  <c r="F40" i="6" s="1"/>
  <c r="F39" i="6" s="1"/>
  <c r="F38" i="6" s="1"/>
  <c r="F70" i="5"/>
  <c r="L89" i="2"/>
  <c r="L93" i="2"/>
  <c r="L92" i="2"/>
  <c r="L88" i="2"/>
  <c r="L86" i="2"/>
  <c r="F12" i="6" s="1"/>
  <c r="M85" i="2"/>
  <c r="G57" i="5"/>
  <c r="K65" i="10"/>
  <c r="L65" i="10" s="1"/>
  <c r="M65" i="10" s="1"/>
  <c r="N65" i="10" s="1"/>
  <c r="O65" i="10" s="1"/>
  <c r="K60" i="10"/>
  <c r="L60" i="10" s="1"/>
  <c r="M60" i="10" s="1"/>
  <c r="N60" i="10" s="1"/>
  <c r="O60" i="10" s="1"/>
  <c r="K61" i="10"/>
  <c r="L61" i="10" s="1"/>
  <c r="M61" i="10" s="1"/>
  <c r="N61" i="10" s="1"/>
  <c r="O61" i="10" s="1"/>
  <c r="K47" i="10"/>
  <c r="K40" i="10"/>
  <c r="K43" i="10"/>
  <c r="L43" i="10" s="1"/>
  <c r="M43" i="10" s="1"/>
  <c r="N43" i="10" s="1"/>
  <c r="O43" i="10" s="1"/>
  <c r="K51" i="10"/>
  <c r="L51" i="10" s="1"/>
  <c r="M51" i="10" s="1"/>
  <c r="N51" i="10" s="1"/>
  <c r="O51" i="10" s="1"/>
  <c r="K58" i="10"/>
  <c r="L58" i="10" s="1"/>
  <c r="M58" i="10" s="1"/>
  <c r="N58" i="10" s="1"/>
  <c r="O58" i="10" s="1"/>
  <c r="K42" i="10"/>
  <c r="K50" i="10"/>
  <c r="L50" i="10" s="1"/>
  <c r="M50" i="10" s="1"/>
  <c r="N50" i="10" s="1"/>
  <c r="O50" i="10" s="1"/>
  <c r="K66" i="10"/>
  <c r="L66" i="10" s="1"/>
  <c r="M66" i="10" s="1"/>
  <c r="N66" i="10" s="1"/>
  <c r="O66" i="10" s="1"/>
  <c r="K41" i="10"/>
  <c r="L41" i="10" s="1"/>
  <c r="M41" i="10" s="1"/>
  <c r="N41" i="10" s="1"/>
  <c r="O41" i="10" s="1"/>
  <c r="K44" i="10"/>
  <c r="L44" i="10" s="1"/>
  <c r="M44" i="10" s="1"/>
  <c r="N44" i="10" s="1"/>
  <c r="O44" i="10" s="1"/>
  <c r="K48" i="10"/>
  <c r="L48" i="10" s="1"/>
  <c r="M48" i="10" s="1"/>
  <c r="N48" i="10" s="1"/>
  <c r="O48" i="10" s="1"/>
  <c r="K59" i="10"/>
  <c r="L59" i="10" s="1"/>
  <c r="M59" i="10" s="1"/>
  <c r="N59" i="10" s="1"/>
  <c r="O59" i="10" s="1"/>
  <c r="K57" i="10"/>
  <c r="F56" i="5"/>
  <c r="I31" i="6"/>
  <c r="I33" i="6"/>
  <c r="J96" i="9"/>
  <c r="J128" i="9" s="1"/>
  <c r="J138" i="9" s="1"/>
  <c r="J153" i="9" s="1"/>
  <c r="J159" i="9" s="1"/>
  <c r="J79" i="9"/>
  <c r="K86" i="10" l="1"/>
  <c r="E38" i="6"/>
  <c r="B252" i="10"/>
  <c r="B259" i="10" s="1"/>
  <c r="B250" i="10"/>
  <c r="K98" i="2"/>
  <c r="F55" i="5" s="1"/>
  <c r="F58" i="5" s="1"/>
  <c r="F60" i="5" s="1"/>
  <c r="C272" i="2" s="1"/>
  <c r="F44" i="5"/>
  <c r="F46" i="5" s="1"/>
  <c r="L86" i="10"/>
  <c r="K89" i="10"/>
  <c r="K88" i="10"/>
  <c r="K87" i="10"/>
  <c r="B225" i="10" s="1"/>
  <c r="F17" i="6"/>
  <c r="F22" i="6"/>
  <c r="F35" i="5"/>
  <c r="F37" i="5" s="1"/>
  <c r="G70" i="5"/>
  <c r="F129" i="5"/>
  <c r="F131" i="5" s="1"/>
  <c r="F132" i="5" s="1"/>
  <c r="C250" i="1" s="1"/>
  <c r="L54" i="2"/>
  <c r="G139" i="5" s="1"/>
  <c r="G141" i="5" s="1"/>
  <c r="G142" i="5" s="1"/>
  <c r="L49" i="10"/>
  <c r="F69" i="9"/>
  <c r="L85" i="10"/>
  <c r="I25" i="15" s="1"/>
  <c r="G36" i="6"/>
  <c r="K93" i="10"/>
  <c r="F57" i="9"/>
  <c r="K92" i="10"/>
  <c r="H140" i="5"/>
  <c r="I33" i="5"/>
  <c r="N57" i="2"/>
  <c r="M62" i="2"/>
  <c r="F74" i="9"/>
  <c r="F68" i="9" s="1"/>
  <c r="L42" i="10"/>
  <c r="G56" i="5"/>
  <c r="N42" i="2"/>
  <c r="H74" i="5"/>
  <c r="H68" i="5" s="1"/>
  <c r="L69" i="2"/>
  <c r="N40" i="2"/>
  <c r="M45" i="2"/>
  <c r="F140" i="9"/>
  <c r="L57" i="10"/>
  <c r="K62" i="10"/>
  <c r="H24" i="15" s="1"/>
  <c r="G33" i="9"/>
  <c r="L40" i="10"/>
  <c r="M40" i="10" s="1"/>
  <c r="N40" i="10" s="1"/>
  <c r="O40" i="10" s="1"/>
  <c r="K45" i="10"/>
  <c r="L87" i="2"/>
  <c r="L90" i="2" s="1"/>
  <c r="L96" i="2" s="1"/>
  <c r="L98" i="2" s="1"/>
  <c r="N49" i="2"/>
  <c r="H69" i="5"/>
  <c r="M52" i="2"/>
  <c r="N47" i="2"/>
  <c r="L64" i="10"/>
  <c r="K67" i="10"/>
  <c r="K52" i="10"/>
  <c r="L52" i="10" s="1"/>
  <c r="M52" i="10" s="1"/>
  <c r="N52" i="10" s="1"/>
  <c r="O52" i="10" s="1"/>
  <c r="L47" i="10"/>
  <c r="M47" i="10" s="1"/>
  <c r="N47" i="10" s="1"/>
  <c r="O47" i="10" s="1"/>
  <c r="M89" i="2"/>
  <c r="N85" i="2"/>
  <c r="M93" i="2"/>
  <c r="M86" i="2"/>
  <c r="M88" i="2"/>
  <c r="M92" i="2"/>
  <c r="H57" i="5"/>
  <c r="M67" i="2"/>
  <c r="N64" i="2"/>
  <c r="G28" i="6" l="1"/>
  <c r="G27" i="6"/>
  <c r="G26" i="6"/>
  <c r="C250" i="10"/>
  <c r="C252" i="10"/>
  <c r="C259" i="10" s="1"/>
  <c r="B258" i="10"/>
  <c r="B260" i="10" s="1"/>
  <c r="B251" i="10"/>
  <c r="H20" i="15"/>
  <c r="D272" i="2"/>
  <c r="E272" i="2"/>
  <c r="K75" i="2"/>
  <c r="K76" i="2" s="1"/>
  <c r="G34" i="5" s="1"/>
  <c r="E250" i="1"/>
  <c r="D250" i="1"/>
  <c r="F47" i="5"/>
  <c r="F49" i="5" s="1"/>
  <c r="C249" i="1"/>
  <c r="K90" i="10"/>
  <c r="L87" i="10"/>
  <c r="C225" i="10" s="1"/>
  <c r="L89" i="10"/>
  <c r="L88" i="10"/>
  <c r="M86" i="10"/>
  <c r="G129" i="5"/>
  <c r="F70" i="9"/>
  <c r="M69" i="2"/>
  <c r="H130" i="5" s="1"/>
  <c r="H56" i="5"/>
  <c r="K69" i="10"/>
  <c r="F130" i="9" s="1"/>
  <c r="L62" i="10"/>
  <c r="I24" i="15" s="1"/>
  <c r="H70" i="5"/>
  <c r="M64" i="10"/>
  <c r="L67" i="10"/>
  <c r="H33" i="9"/>
  <c r="G140" i="9"/>
  <c r="M57" i="10"/>
  <c r="I74" i="5"/>
  <c r="I68" i="5" s="1"/>
  <c r="O42" i="2"/>
  <c r="J74" i="5" s="1"/>
  <c r="O64" i="2"/>
  <c r="O67" i="2" s="1"/>
  <c r="N67" i="2"/>
  <c r="O49" i="2"/>
  <c r="J69" i="5" s="1"/>
  <c r="I69" i="5"/>
  <c r="I140" i="5"/>
  <c r="N62" i="2"/>
  <c r="J33" i="5"/>
  <c r="O57" i="2"/>
  <c r="G44" i="5"/>
  <c r="M85" i="10"/>
  <c r="J25" i="15" s="1"/>
  <c r="H36" i="6"/>
  <c r="N89" i="2"/>
  <c r="N93" i="2"/>
  <c r="N92" i="2"/>
  <c r="N88" i="2"/>
  <c r="O85" i="2"/>
  <c r="I57" i="5"/>
  <c r="N86" i="2"/>
  <c r="G55" i="5"/>
  <c r="G58" i="5" s="1"/>
  <c r="L75" i="2"/>
  <c r="L76" i="2" s="1"/>
  <c r="H34" i="5" s="1"/>
  <c r="L93" i="10"/>
  <c r="G57" i="9"/>
  <c r="L92" i="10"/>
  <c r="G130" i="5"/>
  <c r="M87" i="2"/>
  <c r="M90" i="2" s="1"/>
  <c r="M96" i="2" s="1"/>
  <c r="M98" i="2" s="1"/>
  <c r="F154" i="5"/>
  <c r="F157" i="5" s="1"/>
  <c r="F163" i="5" s="1"/>
  <c r="F61" i="5"/>
  <c r="F66" i="5" s="1"/>
  <c r="F72" i="5" s="1"/>
  <c r="L45" i="10"/>
  <c r="K54" i="10"/>
  <c r="M54" i="2"/>
  <c r="G74" i="9"/>
  <c r="G68" i="9" s="1"/>
  <c r="M42" i="10"/>
  <c r="O47" i="2"/>
  <c r="N52" i="2"/>
  <c r="O40" i="2"/>
  <c r="N45" i="2"/>
  <c r="M49" i="10"/>
  <c r="G69" i="9"/>
  <c r="H28" i="6" l="1"/>
  <c r="H26" i="6"/>
  <c r="H27" i="6"/>
  <c r="K96" i="10"/>
  <c r="H23" i="15" s="1"/>
  <c r="H29" i="15" s="1"/>
  <c r="B226" i="10"/>
  <c r="B195" i="10"/>
  <c r="B166" i="10"/>
  <c r="B201" i="10"/>
  <c r="B203" i="10" s="1"/>
  <c r="B124" i="10"/>
  <c r="B127" i="10" s="1"/>
  <c r="D252" i="10"/>
  <c r="D259" i="10" s="1"/>
  <c r="D250" i="10"/>
  <c r="C251" i="10"/>
  <c r="C258" i="10"/>
  <c r="C260" i="10" s="1"/>
  <c r="I20" i="15"/>
  <c r="F129" i="9"/>
  <c r="H21" i="15"/>
  <c r="H30" i="15" s="1"/>
  <c r="H27" i="15"/>
  <c r="F100" i="5"/>
  <c r="C268" i="2"/>
  <c r="K97" i="10"/>
  <c r="E249" i="1"/>
  <c r="D249" i="1"/>
  <c r="F97" i="5"/>
  <c r="F98" i="5" s="1"/>
  <c r="F161" i="5" s="1"/>
  <c r="F165" i="5" s="1"/>
  <c r="C245" i="1"/>
  <c r="L90" i="10"/>
  <c r="M89" i="10"/>
  <c r="N86" i="10"/>
  <c r="M88" i="10"/>
  <c r="K78" i="2"/>
  <c r="K80" i="2" s="1"/>
  <c r="G41" i="5"/>
  <c r="G40" i="5"/>
  <c r="G46" i="5" s="1"/>
  <c r="G35" i="5"/>
  <c r="G37" i="5" s="1"/>
  <c r="O45" i="2"/>
  <c r="G131" i="5"/>
  <c r="G132" i="5" s="1"/>
  <c r="N54" i="2"/>
  <c r="I129" i="5" s="1"/>
  <c r="J68" i="5"/>
  <c r="J70" i="5" s="1"/>
  <c r="H44" i="5"/>
  <c r="H35" i="5"/>
  <c r="H37" i="5" s="1"/>
  <c r="G70" i="9"/>
  <c r="N69" i="2"/>
  <c r="I130" i="5" s="1"/>
  <c r="F131" i="9"/>
  <c r="F139" i="9"/>
  <c r="F141" i="9" s="1"/>
  <c r="F142" i="9" s="1"/>
  <c r="F143" i="9" s="1"/>
  <c r="H57" i="9"/>
  <c r="M92" i="10"/>
  <c r="M93" i="10"/>
  <c r="N64" i="10"/>
  <c r="M67" i="10"/>
  <c r="I70" i="5"/>
  <c r="O52" i="2"/>
  <c r="M75" i="2"/>
  <c r="M76" i="2" s="1"/>
  <c r="H55" i="5"/>
  <c r="H58" i="5" s="1"/>
  <c r="G154" i="5"/>
  <c r="G157" i="5" s="1"/>
  <c r="G163" i="5" s="1"/>
  <c r="G60" i="5"/>
  <c r="G61" i="5" s="1"/>
  <c r="G66" i="5" s="1"/>
  <c r="G72" i="5" s="1"/>
  <c r="G100" i="5" s="1"/>
  <c r="N57" i="10"/>
  <c r="H140" i="9"/>
  <c r="I33" i="9"/>
  <c r="M62" i="10"/>
  <c r="J24" i="15" s="1"/>
  <c r="L69" i="10"/>
  <c r="L54" i="10"/>
  <c r="M45" i="10"/>
  <c r="O93" i="2"/>
  <c r="O89" i="2"/>
  <c r="O88" i="2"/>
  <c r="O92" i="2"/>
  <c r="J57" i="5"/>
  <c r="O86" i="2"/>
  <c r="O87" i="2" s="1"/>
  <c r="H41" i="5"/>
  <c r="H40" i="5"/>
  <c r="M87" i="10"/>
  <c r="D225" i="10" s="1"/>
  <c r="N49" i="10"/>
  <c r="H69" i="9"/>
  <c r="N42" i="10"/>
  <c r="H74" i="9"/>
  <c r="H68" i="9" s="1"/>
  <c r="L78" i="2"/>
  <c r="L80" i="2" s="1"/>
  <c r="N87" i="2"/>
  <c r="N90" i="2" s="1"/>
  <c r="N96" i="2" s="1"/>
  <c r="N98" i="2" s="1"/>
  <c r="J140" i="5"/>
  <c r="O62" i="2"/>
  <c r="O69" i="2" s="1"/>
  <c r="H139" i="5"/>
  <c r="H141" i="5" s="1"/>
  <c r="H142" i="5" s="1"/>
  <c r="H129" i="5"/>
  <c r="H131" i="5" s="1"/>
  <c r="H132" i="5" s="1"/>
  <c r="I56" i="5"/>
  <c r="N85" i="10"/>
  <c r="K25" i="15" s="1"/>
  <c r="I36" i="6"/>
  <c r="I28" i="6" l="1"/>
  <c r="I26" i="6"/>
  <c r="I27" i="6"/>
  <c r="D251" i="10"/>
  <c r="D258" i="10"/>
  <c r="D260" i="10" s="1"/>
  <c r="B132" i="10"/>
  <c r="B133" i="10" s="1"/>
  <c r="E252" i="10"/>
  <c r="E259" i="10" s="1"/>
  <c r="E250" i="10"/>
  <c r="L96" i="10"/>
  <c r="I23" i="15" s="1"/>
  <c r="I29" i="15" s="1"/>
  <c r="C226" i="10"/>
  <c r="C195" i="10"/>
  <c r="C166" i="10"/>
  <c r="C201" i="10"/>
  <c r="C203" i="10" s="1"/>
  <c r="C124" i="10"/>
  <c r="C127" i="10" s="1"/>
  <c r="C132" i="10" s="1"/>
  <c r="C133" i="10" s="1"/>
  <c r="C160" i="10" s="1"/>
  <c r="C162" i="10" s="1"/>
  <c r="F56" i="9"/>
  <c r="B115" i="10"/>
  <c r="B196" i="10"/>
  <c r="B197" i="10" s="1"/>
  <c r="B167" i="10"/>
  <c r="B168" i="10" s="1"/>
  <c r="B171" i="10" s="1"/>
  <c r="B174" i="10" s="1"/>
  <c r="J20" i="15"/>
  <c r="G129" i="9"/>
  <c r="I21" i="15"/>
  <c r="D268" i="2"/>
  <c r="E268" i="2"/>
  <c r="F35" i="9"/>
  <c r="F37" i="9" s="1"/>
  <c r="F47" i="9" s="1"/>
  <c r="F103" i="5"/>
  <c r="F44" i="9"/>
  <c r="F46" i="9" s="1"/>
  <c r="K98" i="10"/>
  <c r="F160" i="5"/>
  <c r="E245" i="1"/>
  <c r="D245" i="1"/>
  <c r="N87" i="10"/>
  <c r="E225" i="10" s="1"/>
  <c r="M90" i="10"/>
  <c r="F132" i="9"/>
  <c r="F133" i="9" s="1"/>
  <c r="N88" i="10"/>
  <c r="O85" i="10"/>
  <c r="L25" i="15" s="1"/>
  <c r="N89" i="10"/>
  <c r="G42" i="5"/>
  <c r="O54" i="2"/>
  <c r="J139" i="5" s="1"/>
  <c r="J141" i="5" s="1"/>
  <c r="G47" i="5"/>
  <c r="G49" i="5" s="1"/>
  <c r="G97" i="5" s="1"/>
  <c r="G160" i="5" s="1"/>
  <c r="I139" i="5"/>
  <c r="I141" i="5" s="1"/>
  <c r="I142" i="5" s="1"/>
  <c r="H47" i="5"/>
  <c r="O90" i="2"/>
  <c r="O96" i="2" s="1"/>
  <c r="O98" i="2" s="1"/>
  <c r="I44" i="5"/>
  <c r="I131" i="5"/>
  <c r="I132" i="5" s="1"/>
  <c r="I55" i="5"/>
  <c r="I58" i="5" s="1"/>
  <c r="N75" i="2"/>
  <c r="N76" i="2" s="1"/>
  <c r="H42" i="5"/>
  <c r="H46" i="5"/>
  <c r="N62" i="10"/>
  <c r="K24" i="15" s="1"/>
  <c r="M69" i="10"/>
  <c r="I34" i="5"/>
  <c r="M78" i="2"/>
  <c r="M80" i="2" s="1"/>
  <c r="J56" i="5"/>
  <c r="G130" i="9"/>
  <c r="G131" i="9" s="1"/>
  <c r="G132" i="9" s="1"/>
  <c r="G133" i="9" s="1"/>
  <c r="H154" i="5"/>
  <c r="H157" i="5" s="1"/>
  <c r="H163" i="5" s="1"/>
  <c r="H60" i="5"/>
  <c r="H61" i="5" s="1"/>
  <c r="H66" i="5" s="1"/>
  <c r="H72" i="5" s="1"/>
  <c r="H100" i="5" s="1"/>
  <c r="H70" i="9"/>
  <c r="J22" i="6"/>
  <c r="O64" i="10"/>
  <c r="O67" i="10" s="1"/>
  <c r="N67" i="10"/>
  <c r="J130" i="5"/>
  <c r="I74" i="9"/>
  <c r="I68" i="9" s="1"/>
  <c r="O42" i="10"/>
  <c r="J74" i="9" s="1"/>
  <c r="O57" i="10"/>
  <c r="J33" i="9"/>
  <c r="I140" i="9"/>
  <c r="N45" i="10"/>
  <c r="K20" i="15" s="1"/>
  <c r="M54" i="10"/>
  <c r="N92" i="10"/>
  <c r="N93" i="10"/>
  <c r="I57" i="9"/>
  <c r="O49" i="10"/>
  <c r="J69" i="9" s="1"/>
  <c r="I69" i="9"/>
  <c r="J12" i="6"/>
  <c r="G139" i="9"/>
  <c r="G141" i="9" s="1"/>
  <c r="G142" i="9" s="1"/>
  <c r="G143" i="9" s="1"/>
  <c r="L97" i="10" l="1"/>
  <c r="G56" i="9" s="1"/>
  <c r="B214" i="10"/>
  <c r="B216" i="10" s="1"/>
  <c r="B160" i="10"/>
  <c r="B162" i="10" s="1"/>
  <c r="H22" i="15"/>
  <c r="H28" i="15" s="1"/>
  <c r="H32" i="15" s="1"/>
  <c r="B181" i="10"/>
  <c r="B182" i="10" s="1"/>
  <c r="B227" i="10"/>
  <c r="B114" i="10"/>
  <c r="B117" i="10" s="1"/>
  <c r="B120" i="10" s="1"/>
  <c r="M96" i="10"/>
  <c r="J23" i="15" s="1"/>
  <c r="J29" i="15" s="1"/>
  <c r="D226" i="10"/>
  <c r="D195" i="10"/>
  <c r="D166" i="10"/>
  <c r="D201" i="10"/>
  <c r="D203" i="10" s="1"/>
  <c r="D124" i="10"/>
  <c r="D127" i="10" s="1"/>
  <c r="D132" i="10" s="1"/>
  <c r="D133" i="10" s="1"/>
  <c r="D160" i="10" s="1"/>
  <c r="D162" i="10" s="1"/>
  <c r="E251" i="10"/>
  <c r="E258" i="10"/>
  <c r="E260" i="10" s="1"/>
  <c r="H129" i="9"/>
  <c r="J21" i="15"/>
  <c r="J30" i="15" s="1"/>
  <c r="I30" i="15"/>
  <c r="I27" i="15"/>
  <c r="J27" i="15"/>
  <c r="H33" i="15"/>
  <c r="H38" i="15"/>
  <c r="F49" i="9"/>
  <c r="F97" i="9" s="1"/>
  <c r="F160" i="9" s="1"/>
  <c r="K75" i="10"/>
  <c r="K76" i="10" s="1"/>
  <c r="B246" i="10" s="1"/>
  <c r="F55" i="9"/>
  <c r="F58" i="9" s="1"/>
  <c r="N90" i="10"/>
  <c r="J57" i="9"/>
  <c r="J17" i="6"/>
  <c r="O93" i="10"/>
  <c r="O92" i="10"/>
  <c r="J129" i="5"/>
  <c r="J131" i="5" s="1"/>
  <c r="J132" i="5" s="1"/>
  <c r="O88" i="10"/>
  <c r="G98" i="5"/>
  <c r="G161" i="5" s="1"/>
  <c r="G165" i="5" s="1"/>
  <c r="H49" i="5"/>
  <c r="H97" i="5" s="1"/>
  <c r="H160" i="5" s="1"/>
  <c r="J44" i="5"/>
  <c r="J140" i="9"/>
  <c r="J34" i="5"/>
  <c r="J35" i="5" s="1"/>
  <c r="J37" i="5" s="1"/>
  <c r="N78" i="2"/>
  <c r="N80" i="2" s="1"/>
  <c r="J68" i="9"/>
  <c r="J70" i="9" s="1"/>
  <c r="I154" i="5"/>
  <c r="I157" i="5" s="1"/>
  <c r="I163" i="5" s="1"/>
  <c r="I60" i="5"/>
  <c r="I61" i="5" s="1"/>
  <c r="I66" i="5" s="1"/>
  <c r="I72" i="5" s="1"/>
  <c r="I100" i="5" s="1"/>
  <c r="I70" i="9"/>
  <c r="J142" i="5"/>
  <c r="F189" i="5"/>
  <c r="I41" i="5"/>
  <c r="I40" i="5"/>
  <c r="I35" i="5"/>
  <c r="I37" i="5" s="1"/>
  <c r="H139" i="9"/>
  <c r="H141" i="9" s="1"/>
  <c r="H142" i="9" s="1"/>
  <c r="H143" i="9" s="1"/>
  <c r="H130" i="9"/>
  <c r="H131" i="9" s="1"/>
  <c r="H132" i="9" s="1"/>
  <c r="H133" i="9" s="1"/>
  <c r="O45" i="10"/>
  <c r="N54" i="10"/>
  <c r="O62" i="10"/>
  <c r="N69" i="10"/>
  <c r="J55" i="5"/>
  <c r="J58" i="5" s="1"/>
  <c r="O75" i="2"/>
  <c r="O76" i="2" s="1"/>
  <c r="O78" i="2" s="1"/>
  <c r="O80" i="2" s="1"/>
  <c r="L98" i="10" l="1"/>
  <c r="B228" i="10"/>
  <c r="C167" i="10"/>
  <c r="C168" i="10" s="1"/>
  <c r="C171" i="10" s="1"/>
  <c r="C174" i="10" s="1"/>
  <c r="M97" i="10"/>
  <c r="D167" i="10" s="1"/>
  <c r="D168" i="10" s="1"/>
  <c r="D171" i="10" s="1"/>
  <c r="D174" i="10" s="1"/>
  <c r="C196" i="10"/>
  <c r="C197" i="10" s="1"/>
  <c r="C214" i="10" s="1"/>
  <c r="C216" i="10" s="1"/>
  <c r="C115" i="10"/>
  <c r="G44" i="9"/>
  <c r="N96" i="10"/>
  <c r="K23" i="15" s="1"/>
  <c r="K29" i="15" s="1"/>
  <c r="E195" i="10"/>
  <c r="E166" i="10"/>
  <c r="E201" i="10"/>
  <c r="E203" i="10" s="1"/>
  <c r="E124" i="10"/>
  <c r="E127" i="10" s="1"/>
  <c r="E132" i="10" s="1"/>
  <c r="E133" i="10" s="1"/>
  <c r="E160" i="10" s="1"/>
  <c r="E162" i="10" s="1"/>
  <c r="E226" i="10"/>
  <c r="H56" i="9"/>
  <c r="D115" i="10"/>
  <c r="D196" i="10"/>
  <c r="D197" i="10" s="1"/>
  <c r="D214" i="10" s="1"/>
  <c r="D216" i="10" s="1"/>
  <c r="I22" i="15"/>
  <c r="I28" i="15" s="1"/>
  <c r="I32" i="15" s="1"/>
  <c r="I38" i="15" s="1"/>
  <c r="C227" i="10"/>
  <c r="C114" i="10"/>
  <c r="C181" i="10"/>
  <c r="C182" i="10" s="1"/>
  <c r="O69" i="10"/>
  <c r="J130" i="9" s="1"/>
  <c r="L24" i="15"/>
  <c r="I129" i="9"/>
  <c r="K21" i="15"/>
  <c r="O54" i="10"/>
  <c r="L20" i="15"/>
  <c r="F98" i="9"/>
  <c r="F161" i="9" s="1"/>
  <c r="L75" i="10"/>
  <c r="G55" i="9"/>
  <c r="G58" i="9" s="1"/>
  <c r="F154" i="9"/>
  <c r="F157" i="9" s="1"/>
  <c r="F163" i="9" s="1"/>
  <c r="F60" i="9"/>
  <c r="F61" i="9" s="1"/>
  <c r="F66" i="9" s="1"/>
  <c r="F72" i="9" s="1"/>
  <c r="F100" i="9" s="1"/>
  <c r="G34" i="9"/>
  <c r="K78" i="10"/>
  <c r="K80" i="10" s="1"/>
  <c r="L76" i="10"/>
  <c r="C246" i="10" s="1"/>
  <c r="H44" i="9"/>
  <c r="M98" i="10"/>
  <c r="O86" i="10"/>
  <c r="O89" i="10"/>
  <c r="G103" i="5"/>
  <c r="H98" i="5"/>
  <c r="F188" i="5"/>
  <c r="H188" i="5" s="1"/>
  <c r="I130" i="9"/>
  <c r="J41" i="5"/>
  <c r="J47" i="5" s="1"/>
  <c r="J40" i="5"/>
  <c r="I139" i="9"/>
  <c r="I141" i="9" s="1"/>
  <c r="I142" i="9" s="1"/>
  <c r="I143" i="9" s="1"/>
  <c r="I42" i="5"/>
  <c r="I46" i="5"/>
  <c r="H189" i="5"/>
  <c r="J154" i="5"/>
  <c r="J157" i="5" s="1"/>
  <c r="J163" i="5" s="1"/>
  <c r="J60" i="5"/>
  <c r="J61" i="5" s="1"/>
  <c r="J66" i="5" s="1"/>
  <c r="J72" i="5" s="1"/>
  <c r="I47" i="5"/>
  <c r="N97" i="10" l="1"/>
  <c r="C117" i="10"/>
  <c r="C120" i="10" s="1"/>
  <c r="O87" i="10"/>
  <c r="F225" i="10" s="1"/>
  <c r="F252" i="10"/>
  <c r="F259" i="10" s="1"/>
  <c r="F250" i="10"/>
  <c r="J22" i="15"/>
  <c r="J28" i="15" s="1"/>
  <c r="J32" i="15" s="1"/>
  <c r="J38" i="15" s="1"/>
  <c r="D227" i="10"/>
  <c r="D114" i="10"/>
  <c r="D117" i="10" s="1"/>
  <c r="D120" i="10" s="1"/>
  <c r="D181" i="10"/>
  <c r="D182" i="10" s="1"/>
  <c r="C228" i="10"/>
  <c r="I33" i="15"/>
  <c r="I56" i="9"/>
  <c r="E196" i="10"/>
  <c r="E197" i="10" s="1"/>
  <c r="E167" i="10"/>
  <c r="E115" i="10"/>
  <c r="E168" i="10"/>
  <c r="E171" i="10" s="1"/>
  <c r="E174" i="10" s="1"/>
  <c r="J129" i="9"/>
  <c r="L21" i="15"/>
  <c r="L30" i="15" s="1"/>
  <c r="K30" i="15"/>
  <c r="K27" i="15"/>
  <c r="I131" i="9"/>
  <c r="I132" i="9" s="1"/>
  <c r="I133" i="9" s="1"/>
  <c r="I44" i="9"/>
  <c r="F103" i="9"/>
  <c r="F165" i="9"/>
  <c r="M75" i="10"/>
  <c r="H55" i="9"/>
  <c r="H58" i="9" s="1"/>
  <c r="G60" i="9"/>
  <c r="G61" i="9" s="1"/>
  <c r="G66" i="9" s="1"/>
  <c r="G72" i="9" s="1"/>
  <c r="G100" i="9" s="1"/>
  <c r="G154" i="9"/>
  <c r="G157" i="9" s="1"/>
  <c r="G163" i="9" s="1"/>
  <c r="H34" i="9"/>
  <c r="L78" i="10"/>
  <c r="L80" i="10" s="1"/>
  <c r="M76" i="10"/>
  <c r="D246" i="10" s="1"/>
  <c r="G35" i="9"/>
  <c r="G37" i="9" s="1"/>
  <c r="G41" i="9"/>
  <c r="G40" i="9"/>
  <c r="N98" i="10"/>
  <c r="O90" i="10"/>
  <c r="H103" i="5"/>
  <c r="H161" i="5"/>
  <c r="H165" i="5" s="1"/>
  <c r="F200" i="9"/>
  <c r="P190" i="5"/>
  <c r="K189" i="5"/>
  <c r="F201" i="9"/>
  <c r="I49" i="5"/>
  <c r="I97" i="5" s="1"/>
  <c r="J80" i="5"/>
  <c r="J100" i="5"/>
  <c r="J46" i="5"/>
  <c r="J49" i="5" s="1"/>
  <c r="J42" i="5"/>
  <c r="E214" i="10" l="1"/>
  <c r="E216" i="10" s="1"/>
  <c r="F251" i="10"/>
  <c r="F258" i="10"/>
  <c r="F260" i="10" s="1"/>
  <c r="J33" i="15"/>
  <c r="K22" i="15"/>
  <c r="K28" i="15" s="1"/>
  <c r="K32" i="15" s="1"/>
  <c r="K33" i="15" s="1"/>
  <c r="E114" i="10"/>
  <c r="E117" i="10" s="1"/>
  <c r="E120" i="10" s="1"/>
  <c r="E227" i="10"/>
  <c r="E181" i="10"/>
  <c r="E182" i="10" s="1"/>
  <c r="O96" i="10"/>
  <c r="L23" i="15" s="1"/>
  <c r="L29" i="15" s="1"/>
  <c r="F195" i="10"/>
  <c r="F166" i="10"/>
  <c r="F201" i="10"/>
  <c r="F203" i="10" s="1"/>
  <c r="G203" i="10" s="1"/>
  <c r="F124" i="10"/>
  <c r="F127" i="10" s="1"/>
  <c r="F226" i="10"/>
  <c r="D228" i="10"/>
  <c r="J131" i="9"/>
  <c r="J139" i="9"/>
  <c r="J141" i="9" s="1"/>
  <c r="L27" i="15"/>
  <c r="G47" i="9"/>
  <c r="M78" i="10"/>
  <c r="M80" i="10" s="1"/>
  <c r="N76" i="10"/>
  <c r="E246" i="10" s="1"/>
  <c r="I34" i="9"/>
  <c r="H41" i="9"/>
  <c r="H35" i="9"/>
  <c r="H37" i="9" s="1"/>
  <c r="H40" i="9"/>
  <c r="G42" i="9"/>
  <c r="G46" i="9"/>
  <c r="H60" i="9"/>
  <c r="H61" i="9" s="1"/>
  <c r="H66" i="9" s="1"/>
  <c r="H72" i="9" s="1"/>
  <c r="H100" i="9" s="1"/>
  <c r="H154" i="9"/>
  <c r="H157" i="9" s="1"/>
  <c r="H163" i="9" s="1"/>
  <c r="I55" i="9"/>
  <c r="I58" i="9" s="1"/>
  <c r="N75" i="10"/>
  <c r="K188" i="5"/>
  <c r="I160" i="5"/>
  <c r="I98" i="5"/>
  <c r="J85" i="5"/>
  <c r="J90" i="5"/>
  <c r="J81" i="5"/>
  <c r="J97" i="5"/>
  <c r="J160" i="5" s="1"/>
  <c r="O97" i="10" l="1"/>
  <c r="O98" i="10" s="1"/>
  <c r="K38" i="15"/>
  <c r="F132" i="10"/>
  <c r="F133" i="10" s="1"/>
  <c r="G127" i="10"/>
  <c r="E228" i="10"/>
  <c r="H47" i="9"/>
  <c r="F189" i="9"/>
  <c r="J142" i="9"/>
  <c r="J143" i="9" s="1"/>
  <c r="F188" i="9"/>
  <c r="J132" i="9"/>
  <c r="J133" i="9" s="1"/>
  <c r="G49" i="9"/>
  <c r="G97" i="9" s="1"/>
  <c r="G98" i="9" s="1"/>
  <c r="G103" i="9" s="1"/>
  <c r="H42" i="9"/>
  <c r="H46" i="9"/>
  <c r="I40" i="9"/>
  <c r="I41" i="9"/>
  <c r="I35" i="9"/>
  <c r="I37" i="9" s="1"/>
  <c r="N78" i="10"/>
  <c r="N80" i="10" s="1"/>
  <c r="J34" i="9"/>
  <c r="O76" i="10"/>
  <c r="I154" i="9"/>
  <c r="I157" i="9" s="1"/>
  <c r="I163" i="9" s="1"/>
  <c r="I60" i="9"/>
  <c r="I61" i="9" s="1"/>
  <c r="I66" i="9" s="1"/>
  <c r="I72" i="9" s="1"/>
  <c r="I100" i="9" s="1"/>
  <c r="J86" i="5"/>
  <c r="J87" i="5" s="1"/>
  <c r="J91" i="5"/>
  <c r="J93" i="5" s="1"/>
  <c r="I161" i="5"/>
  <c r="I165" i="5" s="1"/>
  <c r="J98" i="5"/>
  <c r="I103" i="5"/>
  <c r="H49" i="9" l="1"/>
  <c r="H97" i="9" s="1"/>
  <c r="H160" i="9" s="1"/>
  <c r="J44" i="9"/>
  <c r="F115" i="10"/>
  <c r="J35" i="9"/>
  <c r="J37" i="9" s="1"/>
  <c r="F167" i="10"/>
  <c r="F168" i="10" s="1"/>
  <c r="F171" i="10" s="1"/>
  <c r="F174" i="10" s="1"/>
  <c r="F196" i="10"/>
  <c r="F197" i="10" s="1"/>
  <c r="J56" i="9"/>
  <c r="F214" i="10"/>
  <c r="F216" i="10" s="1"/>
  <c r="G216" i="10" s="1"/>
  <c r="B188" i="10" s="1"/>
  <c r="C188" i="10" s="1"/>
  <c r="D188" i="10" s="1"/>
  <c r="E188" i="10" s="1"/>
  <c r="F188" i="10" s="1"/>
  <c r="G197" i="10"/>
  <c r="L22" i="15"/>
  <c r="L28" i="15" s="1"/>
  <c r="L32" i="15" s="1"/>
  <c r="L38" i="15" s="1"/>
  <c r="F227" i="10"/>
  <c r="F114" i="10"/>
  <c r="F181" i="10"/>
  <c r="F182" i="10" s="1"/>
  <c r="F228" i="10"/>
  <c r="O78" i="10"/>
  <c r="O80" i="10" s="1"/>
  <c r="F246" i="10"/>
  <c r="F160" i="10"/>
  <c r="F162" i="10" s="1"/>
  <c r="G162" i="10" s="1"/>
  <c r="G133" i="10"/>
  <c r="I188" i="9"/>
  <c r="P190" i="9"/>
  <c r="H188" i="9"/>
  <c r="K200" i="9" s="1"/>
  <c r="I189" i="9"/>
  <c r="H189" i="9"/>
  <c r="K201" i="9" s="1"/>
  <c r="G160" i="9"/>
  <c r="G161" i="9"/>
  <c r="G165" i="9" s="1"/>
  <c r="I47" i="9"/>
  <c r="H98" i="9"/>
  <c r="H161" i="9" s="1"/>
  <c r="H165" i="9" s="1"/>
  <c r="I42" i="9"/>
  <c r="I46" i="9"/>
  <c r="O75" i="10"/>
  <c r="J55" i="9"/>
  <c r="J58" i="9" s="1"/>
  <c r="J41" i="9"/>
  <c r="J40" i="9"/>
  <c r="J161" i="5"/>
  <c r="J165" i="5" s="1"/>
  <c r="F167" i="5" s="1"/>
  <c r="F169" i="5" s="1"/>
  <c r="F173" i="5" s="1"/>
  <c r="J103" i="5"/>
  <c r="F106" i="5" s="1"/>
  <c r="J104" i="5"/>
  <c r="F107" i="5" s="1"/>
  <c r="J47" i="9" l="1"/>
  <c r="F117" i="10"/>
  <c r="F120" i="10" s="1"/>
  <c r="G120" i="10" s="1"/>
  <c r="L33" i="15"/>
  <c r="G182" i="10"/>
  <c r="B187" i="10" s="1"/>
  <c r="C185" i="10"/>
  <c r="C184" i="10"/>
  <c r="G201" i="9"/>
  <c r="K189" i="9"/>
  <c r="G200" i="9"/>
  <c r="K188" i="9"/>
  <c r="I49" i="9"/>
  <c r="I97" i="9" s="1"/>
  <c r="I160" i="9" s="1"/>
  <c r="H103" i="9"/>
  <c r="J42" i="9"/>
  <c r="J46" i="9"/>
  <c r="J49" i="9" s="1"/>
  <c r="J97" i="9" s="1"/>
  <c r="J160" i="9" s="1"/>
  <c r="J60" i="9"/>
  <c r="J61" i="9" s="1"/>
  <c r="J66" i="9" s="1"/>
  <c r="J72" i="9" s="1"/>
  <c r="J154" i="9"/>
  <c r="J157" i="9" s="1"/>
  <c r="J163" i="9" s="1"/>
  <c r="F108" i="5"/>
  <c r="F110" i="5" s="1"/>
  <c r="F114" i="5" s="1"/>
  <c r="F179" i="5"/>
  <c r="F180" i="5" s="1"/>
  <c r="F190" i="5"/>
  <c r="I190" i="5" s="1"/>
  <c r="C187" i="10" l="1"/>
  <c r="B189" i="10"/>
  <c r="H200" i="9"/>
  <c r="J200" i="9"/>
  <c r="H201" i="9"/>
  <c r="J201" i="9"/>
  <c r="I98" i="9"/>
  <c r="I161" i="9" s="1"/>
  <c r="I165" i="9" s="1"/>
  <c r="J81" i="9"/>
  <c r="J91" i="9" s="1"/>
  <c r="J86" i="9"/>
  <c r="J90" i="9"/>
  <c r="J85" i="9"/>
  <c r="J100" i="9"/>
  <c r="J80" i="9"/>
  <c r="H190" i="5"/>
  <c r="F120" i="5"/>
  <c r="F121" i="5" s="1"/>
  <c r="F191" i="5"/>
  <c r="D187" i="10" l="1"/>
  <c r="C189" i="10"/>
  <c r="P188" i="5"/>
  <c r="I191" i="5"/>
  <c r="J98" i="9"/>
  <c r="J161" i="9" s="1"/>
  <c r="J165" i="9" s="1"/>
  <c r="F167" i="9" s="1"/>
  <c r="F169" i="9" s="1"/>
  <c r="F173" i="9" s="1"/>
  <c r="F190" i="9" s="1"/>
  <c r="I190" i="9" s="1"/>
  <c r="I103" i="9"/>
  <c r="J87" i="9"/>
  <c r="J93" i="9"/>
  <c r="K190" i="5"/>
  <c r="F202" i="9"/>
  <c r="L190" i="5"/>
  <c r="H191" i="5"/>
  <c r="E187" i="10" l="1"/>
  <c r="D189" i="10"/>
  <c r="J103" i="9"/>
  <c r="F106" i="9" s="1"/>
  <c r="F179" i="9"/>
  <c r="F180" i="9" s="1"/>
  <c r="J104" i="9"/>
  <c r="F107" i="9" s="1"/>
  <c r="H190" i="9"/>
  <c r="K202" i="9" s="1"/>
  <c r="N190" i="5"/>
  <c r="K191" i="5"/>
  <c r="F203" i="9"/>
  <c r="F196" i="5"/>
  <c r="F194" i="5"/>
  <c r="F197" i="5"/>
  <c r="P189" i="5"/>
  <c r="F195" i="5"/>
  <c r="E189" i="10" l="1"/>
  <c r="F187" i="10"/>
  <c r="F189" i="10" s="1"/>
  <c r="F108" i="9"/>
  <c r="F110" i="9" s="1"/>
  <c r="F114" i="9" s="1"/>
  <c r="F191" i="9" s="1"/>
  <c r="K190" i="9"/>
  <c r="G202" i="9"/>
  <c r="I191" i="9" l="1"/>
  <c r="N190" i="9" s="1"/>
  <c r="P188" i="9"/>
  <c r="H191" i="9"/>
  <c r="K203" i="9" s="1"/>
  <c r="L190" i="9"/>
  <c r="F120" i="9"/>
  <c r="F121" i="9" s="1"/>
  <c r="J202" i="9"/>
  <c r="H202" i="9"/>
  <c r="F195" i="9" l="1"/>
  <c r="K191" i="9"/>
  <c r="G203" i="9"/>
  <c r="F194" i="9"/>
  <c r="P189" i="9"/>
  <c r="F193" i="9"/>
  <c r="H203" i="9" l="1"/>
  <c r="J20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Andrea Rodriguez S</author>
  </authors>
  <commentList>
    <comment ref="C184" authorId="0" shapeId="0" xr:uid="{61C89ADA-61E9-488D-A518-796B0BB5AF86}">
      <text>
        <r>
          <rPr>
            <b/>
            <sz val="9"/>
            <color indexed="81"/>
            <rFont val="Tahoma"/>
            <family val="2"/>
          </rPr>
          <t>Paola Andrea Rodriguez S:</t>
        </r>
        <r>
          <rPr>
            <sz val="9"/>
            <color indexed="81"/>
            <rFont val="Tahoma"/>
            <family val="2"/>
          </rPr>
          <t xml:space="preserve">
en el lapso de estufio  la empresa inicio u rentabilidas con 3,64% presenta un maximo y un minimo de tanto en el periodo analizado.</t>
        </r>
      </text>
    </comment>
    <comment ref="C185" authorId="0" shapeId="0" xr:uid="{8202F5BD-9110-47E1-83B1-00D5C93320CA}">
      <text>
        <r>
          <rPr>
            <b/>
            <sz val="9"/>
            <color indexed="81"/>
            <rFont val="Tahoma"/>
            <family val="2"/>
          </rPr>
          <t>Paola Andrea Rodriguez S:</t>
        </r>
        <r>
          <rPr>
            <sz val="9"/>
            <color indexed="81"/>
            <rFont val="Tahoma"/>
            <family val="2"/>
          </rPr>
          <t xml:space="preserve">
en el lapso de estufio  la empresa inicio u rentabilidas con 3,64% presenta un maximo y un minimo de tanto en el periodo analizado.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Andrea Rodriguez S</author>
  </authors>
  <commentList>
    <comment ref="C184" authorId="0" shapeId="0" xr:uid="{70FCA07B-A28D-4244-8AD1-DCA0F475CCE1}">
      <text>
        <r>
          <rPr>
            <b/>
            <sz val="9"/>
            <color indexed="81"/>
            <rFont val="Tahoma"/>
            <family val="2"/>
          </rPr>
          <t>Paola Andrea Rodriguez S:</t>
        </r>
        <r>
          <rPr>
            <sz val="9"/>
            <color indexed="81"/>
            <rFont val="Tahoma"/>
            <family val="2"/>
          </rPr>
          <t xml:space="preserve">
en el lapso de estufio  la empresa inicio u rentabilidas con 3,64% presenta un maximo y un minimo de tanto en el periodo analizado.</t>
        </r>
      </text>
    </comment>
    <comment ref="C185" authorId="0" shapeId="0" xr:uid="{D6419508-A707-4923-8B0D-908A1F02E3C0}">
      <text>
        <r>
          <rPr>
            <b/>
            <sz val="9"/>
            <color indexed="81"/>
            <rFont val="Tahoma"/>
            <family val="2"/>
          </rPr>
          <t>Paola Andrea Rodriguez S:</t>
        </r>
        <r>
          <rPr>
            <sz val="9"/>
            <color indexed="81"/>
            <rFont val="Tahoma"/>
            <family val="2"/>
          </rPr>
          <t xml:space="preserve">
en el lapso de estufio  la empresa inicio u rentabilidas con 3,64% presenta un maximo y un minimo de tanto en el periodo analizado.</t>
        </r>
      </text>
    </comment>
  </commentList>
</comments>
</file>

<file path=xl/sharedStrings.xml><?xml version="1.0" encoding="utf-8"?>
<sst xmlns="http://schemas.openxmlformats.org/spreadsheetml/2006/main" count="1216" uniqueCount="445">
  <si>
    <t>MODELO DE VALORACIÓN DE EMPRESAS</t>
  </si>
  <si>
    <t>ESTADOS FINANCIEROS CIFRAS HISTORICAS</t>
  </si>
  <si>
    <t>a 31 de Diciembre</t>
  </si>
  <si>
    <t xml:space="preserve"> Pesos Colombianos</t>
  </si>
  <si>
    <t>0 TOTAL ACTIVO</t>
  </si>
  <si>
    <t>0 TOTAL PASIVO CORRIENTE</t>
  </si>
  <si>
    <t>0 TOTAL PASIVO NO CORRIENTE</t>
  </si>
  <si>
    <t>0 TOTAL PASIVO</t>
  </si>
  <si>
    <t>0 TOTAL PATRIMONIO</t>
  </si>
  <si>
    <t>0 TOTAL PASIVO Y PATRIMONIO</t>
  </si>
  <si>
    <t>ACTIVO</t>
  </si>
  <si>
    <t>Activo Corriente</t>
  </si>
  <si>
    <t>Activo No Corriente</t>
  </si>
  <si>
    <t>Pasivo Corriente</t>
  </si>
  <si>
    <t>Pasivo No Corriente</t>
  </si>
  <si>
    <t>Patrimonio</t>
  </si>
  <si>
    <t>CONTROL (Pasivo y Patrimonio - Activo)</t>
  </si>
  <si>
    <t>ESTADO DE SITUACIÓN FINANCIERA</t>
  </si>
  <si>
    <t>ESTADO DE RESULTADO</t>
  </si>
  <si>
    <t>UTILIDAD BRUTA</t>
  </si>
  <si>
    <t>UTILIDAD OPERACIONAL</t>
  </si>
  <si>
    <t>UTILIDAD ANTES DE IMPUESTOS</t>
  </si>
  <si>
    <t>Operacional</t>
  </si>
  <si>
    <t>No Operacional</t>
  </si>
  <si>
    <t>Resultados Netos</t>
  </si>
  <si>
    <t xml:space="preserve">CUENTAS DE RESULTADO </t>
  </si>
  <si>
    <t>ANÁLISIS FINANCIERO</t>
  </si>
  <si>
    <t>ANÁLISIS VERTICAL</t>
  </si>
  <si>
    <t>ANÁLISIS VERTICAL - BASE EN VENTAS</t>
  </si>
  <si>
    <t>Ventas</t>
  </si>
  <si>
    <t>EBITDA</t>
  </si>
  <si>
    <t>CIFRAS FUNDAMENTALES DE PROYECCIÓN</t>
  </si>
  <si>
    <t xml:space="preserve">CIFRAS DE PROYECCIÓN </t>
  </si>
  <si>
    <t xml:space="preserve">PLANES, POLITICAS Y EXPECTATIVAS </t>
  </si>
  <si>
    <t>Inflación en Colombia</t>
  </si>
  <si>
    <t>VARIABLE MACROECONÓMICA</t>
  </si>
  <si>
    <t>CIFRAS PROYECTADAS</t>
  </si>
  <si>
    <t>CIFRAS HISTÓRICAS</t>
  </si>
  <si>
    <t>Promedio Estructural</t>
  </si>
  <si>
    <t>ESTADOS FINANCIEROS PROYECTADOS</t>
  </si>
  <si>
    <t>PROYECCIÓN DE ESTADOS FINANCIERO</t>
  </si>
  <si>
    <t>VALORACIÓN</t>
  </si>
  <si>
    <t>MODELOS DE VALORACIÓN</t>
  </si>
  <si>
    <t>CALCULO DEL COSTO DE LOS RECURSOS PROPIOS</t>
  </si>
  <si>
    <t>Rentabilidad Bonos del Tesoro USA</t>
  </si>
  <si>
    <t>Inflación USA</t>
  </si>
  <si>
    <t>Inflación Colombia</t>
  </si>
  <si>
    <t>RIESGO PAÍS</t>
  </si>
  <si>
    <t>Inflación en USA</t>
  </si>
  <si>
    <r>
      <t xml:space="preserve">Tasa libre de riesgo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</t>
    </r>
  </si>
  <si>
    <t>Inflación COLOMBIA</t>
  </si>
  <si>
    <t>Riesgo país Colombia</t>
  </si>
  <si>
    <t>COSTO DE CAPITAL</t>
  </si>
  <si>
    <t>Años</t>
  </si>
  <si>
    <r>
      <t xml:space="preserve">Tasa libre de riesgo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dólares      KL</t>
    </r>
    <r>
      <rPr>
        <b/>
        <vertAlign val="subscript"/>
        <sz val="11"/>
        <rFont val="Calibri"/>
        <family val="2"/>
      </rPr>
      <t xml:space="preserve">  USA</t>
    </r>
  </si>
  <si>
    <r>
      <t xml:space="preserve">Tasa libre de riesgo  </t>
    </r>
    <r>
      <rPr>
        <b/>
        <u/>
        <sz val="11"/>
        <rFont val="Calibri"/>
        <family val="2"/>
      </rPr>
      <t>nominal</t>
    </r>
    <r>
      <rPr>
        <sz val="11"/>
        <rFont val="Calibri"/>
        <family val="2"/>
      </rPr>
      <t xml:space="preserve"> en $COL</t>
    </r>
  </si>
  <si>
    <r>
      <t xml:space="preserve">Prima de riesgo del mercado            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</t>
    </r>
  </si>
  <si>
    <t>Rentabilidad acciones USA S&amp;P</t>
  </si>
  <si>
    <r>
      <t>Rentabilidad del Mercado</t>
    </r>
    <r>
      <rPr>
        <sz val="11"/>
        <rFont val="Calibri"/>
        <family val="2"/>
      </rPr>
      <t xml:space="preserve"> en $COL</t>
    </r>
  </si>
  <si>
    <r>
      <t xml:space="preserve">Rentabilidad Mercado en dólares            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</rPr>
      <t>K</t>
    </r>
    <r>
      <rPr>
        <b/>
        <vertAlign val="subscript"/>
        <sz val="11"/>
        <color theme="1"/>
        <rFont val="Calibri"/>
        <family val="2"/>
      </rPr>
      <t>m</t>
    </r>
    <r>
      <rPr>
        <b/>
        <sz val="11"/>
        <color theme="1"/>
        <rFont val="Calibri"/>
        <family val="2"/>
      </rPr>
      <t xml:space="preserve"> </t>
    </r>
    <r>
      <rPr>
        <b/>
        <sz val="8"/>
        <color theme="1"/>
        <rFont val="Calibri"/>
        <family val="2"/>
      </rPr>
      <t>USA</t>
    </r>
  </si>
  <si>
    <r>
      <t xml:space="preserve">Rentabilidad del Mercado </t>
    </r>
    <r>
      <rPr>
        <b/>
        <u/>
        <sz val="11"/>
        <rFont val="Calibri"/>
        <family val="2"/>
      </rPr>
      <t>real</t>
    </r>
    <r>
      <rPr>
        <sz val="11"/>
        <rFont val="Calibri"/>
        <family val="2"/>
      </rPr>
      <t xml:space="preserve"> en dólares  </t>
    </r>
    <r>
      <rPr>
        <b/>
        <sz val="10"/>
        <rFont val="Calibri"/>
        <family val="2"/>
      </rPr>
      <t>Km USA</t>
    </r>
  </si>
  <si>
    <t>Km</t>
  </si>
  <si>
    <t>Kl</t>
  </si>
  <si>
    <t>RP</t>
  </si>
  <si>
    <t xml:space="preserve">Beta Desapalancada BU Sectorial </t>
  </si>
  <si>
    <r>
      <t xml:space="preserve">Patrimonio       </t>
    </r>
    <r>
      <rPr>
        <b/>
        <sz val="8"/>
        <color theme="1"/>
        <rFont val="Calibri"/>
        <family val="2"/>
        <scheme val="minor"/>
      </rPr>
      <t>K</t>
    </r>
  </si>
  <si>
    <r>
      <t xml:space="preserve">Deuda     </t>
    </r>
    <r>
      <rPr>
        <b/>
        <sz val="8"/>
        <color theme="1"/>
        <rFont val="Calibri"/>
        <family val="2"/>
        <scheme val="minor"/>
      </rPr>
      <t>D</t>
    </r>
  </si>
  <si>
    <r>
      <t xml:space="preserve">Beta Apalancada     </t>
    </r>
    <r>
      <rPr>
        <b/>
        <sz val="8"/>
        <color theme="1"/>
        <rFont val="Calibri"/>
        <family val="2"/>
        <scheme val="minor"/>
      </rPr>
      <t>BL = BU * ( 1 + (1-t) * D/P)</t>
    </r>
  </si>
  <si>
    <r>
      <t xml:space="preserve">Costo del Patrimonio   </t>
    </r>
    <r>
      <rPr>
        <b/>
        <sz val="11"/>
        <rFont val="Calibri"/>
        <family val="2"/>
        <scheme val="minor"/>
      </rPr>
      <t xml:space="preserve"> Ke =         Kl +    </t>
    </r>
    <r>
      <rPr>
        <b/>
        <sz val="11"/>
        <rFont val="Calibri"/>
        <family val="2"/>
      </rPr>
      <t>(K</t>
    </r>
    <r>
      <rPr>
        <b/>
        <vertAlign val="subscript"/>
        <sz val="11"/>
        <rFont val="Calibri"/>
        <family val="2"/>
      </rPr>
      <t>m</t>
    </r>
    <r>
      <rPr>
        <b/>
        <sz val="11"/>
        <rFont val="Calibri"/>
        <family val="2"/>
      </rPr>
      <t xml:space="preserve"> - KL)*B + RP</t>
    </r>
  </si>
  <si>
    <r>
      <t xml:space="preserve">Estructura Patrimonio      </t>
    </r>
    <r>
      <rPr>
        <b/>
        <sz val="8"/>
        <color theme="1"/>
        <rFont val="Calibri"/>
        <family val="2"/>
        <scheme val="minor"/>
      </rPr>
      <t>K/(D+ K)</t>
    </r>
  </si>
  <si>
    <r>
      <t xml:space="preserve">Estructura Deuda       </t>
    </r>
    <r>
      <rPr>
        <b/>
        <sz val="8"/>
        <color theme="1"/>
        <rFont val="Calibri"/>
        <family val="2"/>
        <scheme val="minor"/>
      </rPr>
      <t>D/(D+ K)</t>
    </r>
  </si>
  <si>
    <r>
      <t xml:space="preserve">Costo Despues de Impuestos (Escudo Fiscal)  </t>
    </r>
    <r>
      <rPr>
        <b/>
        <sz val="9"/>
        <color theme="1"/>
        <rFont val="Calibri"/>
        <family val="2"/>
        <scheme val="minor"/>
      </rPr>
      <t>Kd*(1- tx)</t>
    </r>
  </si>
  <si>
    <r>
      <rPr>
        <sz val="11"/>
        <color theme="1"/>
        <rFont val="Calibri"/>
        <family val="2"/>
        <scheme val="minor"/>
      </rPr>
      <t>Total Estructura de Capital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9"/>
        <color theme="1"/>
        <rFont val="Calibri"/>
        <family val="2"/>
        <scheme val="minor"/>
      </rPr>
      <t>D+K</t>
    </r>
  </si>
  <si>
    <t xml:space="preserve"> Fuente: Damodaran</t>
  </si>
  <si>
    <r>
      <t xml:space="preserve">Aporte Costo de la Deuda    </t>
    </r>
    <r>
      <rPr>
        <b/>
        <sz val="9"/>
        <color theme="1"/>
        <rFont val="Calibri"/>
        <family val="2"/>
        <scheme val="minor"/>
      </rPr>
      <t>Estructura deuda * Costo</t>
    </r>
  </si>
  <si>
    <r>
      <t xml:space="preserve">Aporte Costo Patrimonio     </t>
    </r>
    <r>
      <rPr>
        <b/>
        <sz val="9"/>
        <color theme="1"/>
        <rFont val="Calibri"/>
        <family val="2"/>
        <scheme val="minor"/>
      </rPr>
      <t>Estructura Patromonio * Costo</t>
    </r>
  </si>
  <si>
    <t>COSTO DE CAPITAL - WACC</t>
  </si>
  <si>
    <t>UTILIDAD DEL EJERCICIO</t>
  </si>
  <si>
    <t>(+) Impuestos CAUSADOS</t>
  </si>
  <si>
    <t>(+) Gastos financiero</t>
  </si>
  <si>
    <t>EBIT</t>
  </si>
  <si>
    <t>(-) Impuestos AJUSTADOS
Impuestos operacionales</t>
  </si>
  <si>
    <t>UODI   RODI   NOPAT  NOPLAT   EBIT (1 - tx)</t>
  </si>
  <si>
    <t>(+) Depreciación</t>
  </si>
  <si>
    <t>1 Flujo operativo o flujo bruto</t>
  </si>
  <si>
    <t>(-) Variación del capital de trabajo</t>
  </si>
  <si>
    <t>(-) Inversión en activos (1)</t>
  </si>
  <si>
    <t>2 Financiación de inversiones</t>
  </si>
  <si>
    <t>(1 - 2) FCLO</t>
  </si>
  <si>
    <t>FLUJO DE CAJA PROYECTADO</t>
  </si>
  <si>
    <t>TASAS HISTORICAS</t>
  </si>
  <si>
    <t>CONCEPTO</t>
  </si>
  <si>
    <t>MÉTODO FLUJO DE CAJA DESCONTADO FCLD</t>
  </si>
  <si>
    <t>Ultimo FCLO conocido</t>
  </si>
  <si>
    <t>Ultimo costo de capital conocido</t>
  </si>
  <si>
    <t>g</t>
  </si>
  <si>
    <r>
      <t>FCLO</t>
    </r>
    <r>
      <rPr>
        <b/>
        <vertAlign val="subscript"/>
        <sz val="9"/>
        <color theme="1"/>
        <rFont val="Arial"/>
        <family val="2"/>
      </rPr>
      <t>n</t>
    </r>
  </si>
  <si>
    <t>MODELO ANUALIDAD PERPETUA</t>
  </si>
  <si>
    <t>FCLO (último valor conocido)</t>
  </si>
  <si>
    <t>VALOR TERMINAL</t>
  </si>
  <si>
    <t>MODELO CRECIMIENTO CONSTANTE</t>
  </si>
  <si>
    <t>WACC (último valor conocido)</t>
  </si>
  <si>
    <r>
      <t xml:space="preserve">WACC </t>
    </r>
    <r>
      <rPr>
        <b/>
        <vertAlign val="subscript"/>
        <sz val="9"/>
        <color theme="1"/>
        <rFont val="Arial"/>
        <family val="2"/>
      </rPr>
      <t>n</t>
    </r>
  </si>
  <si>
    <t>Gradiente a perpetuidad</t>
  </si>
  <si>
    <t>M1</t>
  </si>
  <si>
    <t>M2</t>
  </si>
  <si>
    <t>Tasa de crecimiento - perpetuidad  g</t>
  </si>
  <si>
    <t>Representa una serie de pagos Futuros Constantes y perpetuos</t>
  </si>
  <si>
    <t>Representa pagos perpetuos con un grado de crecimiento constante</t>
  </si>
  <si>
    <t>Costo de Capital</t>
  </si>
  <si>
    <t>Tasa Acumulada</t>
  </si>
  <si>
    <t>FCL</t>
  </si>
  <si>
    <t>Valor Terminal</t>
  </si>
  <si>
    <t>Valor presente Flujos de caja Proyectados</t>
  </si>
  <si>
    <t>(+) VALOR PRESENTE DEL VALOR TERMINAL</t>
  </si>
  <si>
    <t>(=)VALOR DE LAS OPERACIONES O DE MERCADO</t>
  </si>
  <si>
    <t>VALOR PRESENTE FLUJOS DE CAJA PROYECTADOS</t>
  </si>
  <si>
    <t>Valor de mercado de la empresa</t>
  </si>
  <si>
    <r>
      <t xml:space="preserve">(Menos) Deuda operacional </t>
    </r>
    <r>
      <rPr>
        <sz val="9"/>
        <rFont val="Calibri"/>
        <family val="2"/>
        <scheme val="minor"/>
      </rPr>
      <t>(Pasivo Corriente - Oblig.Finan CP)</t>
    </r>
  </si>
  <si>
    <r>
      <t xml:space="preserve">(Más) Activo corriente </t>
    </r>
    <r>
      <rPr>
        <sz val="9"/>
        <rFont val="Calibri"/>
        <family val="2"/>
        <scheme val="minor"/>
      </rPr>
      <t>(Disp. Inver, Clientes, Invet.)</t>
    </r>
  </si>
  <si>
    <t>VALOR DE MERCADO DEL PATRIMONIO</t>
  </si>
  <si>
    <t>Patrimonio contable</t>
  </si>
  <si>
    <t>P/BV</t>
  </si>
  <si>
    <t>Valor en Libros por acción</t>
  </si>
  <si>
    <t>Numero de Acciones</t>
  </si>
  <si>
    <t>Valor de Mercado de la Acción</t>
  </si>
  <si>
    <t>Valor Hipotético</t>
  </si>
  <si>
    <t>MÉTODOS CONTABLES O DEL BALANCE</t>
  </si>
  <si>
    <t>MÉTODOS CONTABLES O DE BALANCE</t>
  </si>
  <si>
    <t>VALOR PATRIMONIAL O VALOR EN LIBROS</t>
  </si>
  <si>
    <t>Activos Totales</t>
  </si>
  <si>
    <t>Pasivos Totales</t>
  </si>
  <si>
    <t>Valor en Libros Acción</t>
  </si>
  <si>
    <t>Valor de la Acción</t>
  </si>
  <si>
    <t>VALOR SUSTANCIAL NETO</t>
  </si>
  <si>
    <t>Activos totales</t>
  </si>
  <si>
    <r>
      <t xml:space="preserve">Patrimonio       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A - P = Pat</t>
    </r>
  </si>
  <si>
    <r>
      <t xml:space="preserve">Pasivo Exigible Deudas    </t>
    </r>
    <r>
      <rPr>
        <b/>
        <sz val="8"/>
        <color theme="1"/>
        <rFont val="Calibri"/>
        <family val="2"/>
        <scheme val="minor"/>
      </rPr>
      <t>Financiacion con terceros  FIN  CP + FIN LP + PROVE</t>
    </r>
  </si>
  <si>
    <r>
      <t xml:space="preserve">Patrimonio          </t>
    </r>
    <r>
      <rPr>
        <b/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Act   -    financiacion con terceros = Pat</t>
    </r>
  </si>
  <si>
    <t>MÉTODO VALOR PRESENTE EBITDA´S  PROYECTADOS</t>
  </si>
  <si>
    <t>(+) Amortizacion</t>
  </si>
  <si>
    <t>(+) Provisiones</t>
  </si>
  <si>
    <t>EBITDA PROYECTADO</t>
  </si>
  <si>
    <t>(Menos) Deuda financiera CP + LP</t>
  </si>
  <si>
    <t>RESUMEN RESULTADOS DE VALORACIÓN</t>
  </si>
  <si>
    <t>FCLD</t>
  </si>
  <si>
    <t>Valor Empresa 
Ultimo Conocido</t>
  </si>
  <si>
    <t>Método</t>
  </si>
  <si>
    <t>Ultimo Patrimonio 
Real</t>
  </si>
  <si>
    <t>Valor Creado 
Proyectado 5 Años</t>
  </si>
  <si>
    <t>P/BV Sector 
(Damodaran)</t>
  </si>
  <si>
    <t>Diferencia</t>
  </si>
  <si>
    <t>Sustancial  Neto</t>
  </si>
  <si>
    <t>Patrimonial</t>
  </si>
  <si>
    <t>MÉTODO DE DESCUENTO DE EBITDA, PERCEPCIÓN DE CAJA OPERATIVA</t>
  </si>
  <si>
    <t>MÉTODO FLUJO DE CAJA LIBRE DESCONTADO</t>
  </si>
  <si>
    <t>ESTRATEGIAS Y TRATAMIENTOS OPERATIVOS</t>
  </si>
  <si>
    <t>REDUCCIÓN DE COSTOS</t>
  </si>
  <si>
    <t>Objetivo</t>
  </si>
  <si>
    <t>REDUCCIÓN DE COSTOS $ Proyección</t>
  </si>
  <si>
    <t>PROYECCIONES MEJORARAS, TRATAMIENTOS Y ESTRATEGIAS</t>
  </si>
  <si>
    <t>REDUCCIÓN DE GASTOS ADMINISTRATIVOS</t>
  </si>
  <si>
    <t>REDUCCIÓN DE GASTOS DE VENTAS</t>
  </si>
  <si>
    <t>REDUCCIÓN DE GASTOS ADMON $ Proyección</t>
  </si>
  <si>
    <t>REDUCCIÓN GASTOS DE VENTAS $ Proyección</t>
  </si>
  <si>
    <t xml:space="preserve">COSTO DE VENTAS Y DE PRESTACIÓN DE SERVICIOS </t>
  </si>
  <si>
    <t xml:space="preserve">GASTOS OPERACIONALES DE ADMINISTRACIÓN </t>
  </si>
  <si>
    <t xml:space="preserve">GASTOS OPERACIONALES DE VENTAS </t>
  </si>
  <si>
    <t>GASTOS ADMINISTRATIVOS</t>
  </si>
  <si>
    <t>GASTOS DE VENTAS</t>
  </si>
  <si>
    <t>PLAN DE REDUCCIÓN EN PESOS</t>
  </si>
  <si>
    <t>ESTRATEGIA 2  INCREMENTO EN VENTAS</t>
  </si>
  <si>
    <t>INCREMENTO EN VENTAS</t>
  </si>
  <si>
    <t>Gradiente Crecimiento Valoración Natural</t>
  </si>
  <si>
    <t>CRECIMIENTO ADICIONAL DE VENTAS</t>
  </si>
  <si>
    <t>INCREMENTO GRADIENTE DE CRECIMIENTO</t>
  </si>
  <si>
    <t>VENTAS CON TRATAMIENTO</t>
  </si>
  <si>
    <t>MODELOS DE VALORACIÓN CON ESTRATEGIA</t>
  </si>
  <si>
    <t>FLUJO DE CAJA PROYECTADO CON ESTRATEGIA</t>
  </si>
  <si>
    <t>MÉTODO FLUJO DE CAJA DESCONTADO FCLD CON ESTRATEGIA</t>
  </si>
  <si>
    <t>MÉTODOS CONTABLES O DE BALANCE CON ESTRATEGIA</t>
  </si>
  <si>
    <t>MÉTODO VALOR PRESENTE EBITDA´S  PROYECTADOS CON ESTRATEGIA</t>
  </si>
  <si>
    <t>RESUMEN RESULTADOS DE VALORACIÓN CON ESTRATEGIA</t>
  </si>
  <si>
    <t>GESTIÓN DE VALOR POR MÉTODO</t>
  </si>
  <si>
    <t>P/BV ANTES</t>
  </si>
  <si>
    <t>P/BV 
+ Tratamiento</t>
  </si>
  <si>
    <t>Diferencia $</t>
  </si>
  <si>
    <r>
      <t xml:space="preserve">VALOR TERMINAL                                  </t>
    </r>
    <r>
      <rPr>
        <b/>
        <sz val="8"/>
        <color theme="1"/>
        <rFont val="Arial"/>
        <family val="2"/>
      </rPr>
      <t>FCLO*(1+g) / (WAAC - g)</t>
    </r>
  </si>
  <si>
    <r>
      <t xml:space="preserve">VALOR TERMINAL                                    </t>
    </r>
    <r>
      <rPr>
        <b/>
        <sz val="8"/>
        <color theme="1"/>
        <rFont val="Arial"/>
        <family val="2"/>
      </rPr>
      <t>FCLO*(1+g)/(WACC - g)</t>
    </r>
  </si>
  <si>
    <t>(+) VALOR PRESENTE DE LOS FLUJOS</t>
  </si>
  <si>
    <t>(-) Inversión en activos</t>
  </si>
  <si>
    <t xml:space="preserve">Valor Medio </t>
  </si>
  <si>
    <t>Efectivo y equivalentes de efectivo</t>
  </si>
  <si>
    <t>Activos financieros</t>
  </si>
  <si>
    <t>Deudores comerciales y otros</t>
  </si>
  <si>
    <t>Inventarios</t>
  </si>
  <si>
    <t>Pagos anticipados</t>
  </si>
  <si>
    <t>TOTAL ACTIVO CORRIENTE</t>
  </si>
  <si>
    <t>Deudores</t>
  </si>
  <si>
    <t>Propiedades, planta y equipo</t>
  </si>
  <si>
    <t>Activos intangibles</t>
  </si>
  <si>
    <t>Activos por impuestos diferidos</t>
  </si>
  <si>
    <t>TOTAL ACTIVO NO CORRIENTE</t>
  </si>
  <si>
    <t>Obligaciones financieras</t>
  </si>
  <si>
    <t>Proveedores</t>
  </si>
  <si>
    <t>Cuentas por pagar Varios</t>
  </si>
  <si>
    <t>Impuestos corrientes por pagar</t>
  </si>
  <si>
    <t>Otros pasivos</t>
  </si>
  <si>
    <t>Provisiones</t>
  </si>
  <si>
    <t>Capital suscrito y pagado</t>
  </si>
  <si>
    <t>Superavit de capital</t>
  </si>
  <si>
    <t>Reservas</t>
  </si>
  <si>
    <t>Resultados del Ejercicio</t>
  </si>
  <si>
    <t>Ventas, Ingresos de actividades ordinarias</t>
  </si>
  <si>
    <t>Costo de Ventas</t>
  </si>
  <si>
    <t>Gastos de administración</t>
  </si>
  <si>
    <t>Gastos de ventas y distribución</t>
  </si>
  <si>
    <t>Otros ingresos</t>
  </si>
  <si>
    <t>Gasto no operacional</t>
  </si>
  <si>
    <t>Gasto Financiero</t>
  </si>
  <si>
    <t>Gasto por impuesto</t>
  </si>
  <si>
    <t>UTILIDAD NETA</t>
  </si>
  <si>
    <t>Detalles de Depreciación y Amortización</t>
  </si>
  <si>
    <t>Depreciaciones</t>
  </si>
  <si>
    <t>Amortizaciones</t>
  </si>
  <si>
    <t>Nivel Medio</t>
  </si>
  <si>
    <t>Nivel Bajo</t>
  </si>
  <si>
    <t>Nivel Alto</t>
  </si>
  <si>
    <t>Niveles</t>
  </si>
  <si>
    <t>Valor</t>
  </si>
  <si>
    <t>Contable</t>
  </si>
  <si>
    <t>Promedio</t>
  </si>
  <si>
    <t>Dinámicos</t>
  </si>
  <si>
    <t xml:space="preserve"> </t>
  </si>
  <si>
    <t>Costos</t>
  </si>
  <si>
    <t>Gastos</t>
  </si>
  <si>
    <t>Total Erogación</t>
  </si>
  <si>
    <t>Total operación</t>
  </si>
  <si>
    <t>Ingresos no ope</t>
  </si>
  <si>
    <t>Gastos no ope</t>
  </si>
  <si>
    <t>Tx</t>
  </si>
  <si>
    <t>Margen Neto</t>
  </si>
  <si>
    <t>Anexo KTNO</t>
  </si>
  <si>
    <t xml:space="preserve">Calculo KTNO </t>
  </si>
  <si>
    <t>Cuentas</t>
  </si>
  <si>
    <t>Estructuras</t>
  </si>
  <si>
    <t>VARIABLES</t>
  </si>
  <si>
    <t>PIB</t>
  </si>
  <si>
    <t>Crecimiento Historico</t>
  </si>
  <si>
    <t>Tasa de Crecimiento</t>
  </si>
  <si>
    <t>Crecimiento Proyectado</t>
  </si>
  <si>
    <t>CIFRAS PROYECTADAS ESCENARIO 2</t>
  </si>
  <si>
    <t>Variables</t>
  </si>
  <si>
    <t>Tasa de Crecimiento Modelo 1</t>
  </si>
  <si>
    <t>CIFRAS PROYECTADAS ESCENARIO 3</t>
  </si>
  <si>
    <t>TASA Kd E.A.</t>
  </si>
  <si>
    <t>Elegir Escenario de tasa</t>
  </si>
  <si>
    <t>TASAS DE DEUDA</t>
  </si>
  <si>
    <t>Utilidades</t>
  </si>
  <si>
    <t>Crecimiento Proyectado Con Estrategia</t>
  </si>
  <si>
    <t>Tasas proyectadas con Tratamiento</t>
  </si>
  <si>
    <t>Valor presente EBITDA</t>
  </si>
  <si>
    <t>EBITDA Desde Ut Neta</t>
  </si>
  <si>
    <t>EBITDA Operacional</t>
  </si>
  <si>
    <t>**</t>
  </si>
  <si>
    <t>COSTOS</t>
  </si>
  <si>
    <t xml:space="preserve">EBITDA </t>
  </si>
  <si>
    <t>MODELO GENERAL</t>
  </si>
  <si>
    <t>Utilidad Neta</t>
  </si>
  <si>
    <t>Impuestos</t>
  </si>
  <si>
    <t>Gastos Financieros</t>
  </si>
  <si>
    <t>MODELO OPERATIVO</t>
  </si>
  <si>
    <t>Utilidad Operacional</t>
  </si>
  <si>
    <t>Margen EBITDA</t>
  </si>
  <si>
    <t>Productividad de Capital de Trabajo</t>
  </si>
  <si>
    <t>Cuentas por cobrar</t>
  </si>
  <si>
    <t>Inventario</t>
  </si>
  <si>
    <t xml:space="preserve">Cuentas por pagar proveedores </t>
  </si>
  <si>
    <t>KTNO</t>
  </si>
  <si>
    <t xml:space="preserve">PKT Centavos </t>
  </si>
  <si>
    <t>PKT %</t>
  </si>
  <si>
    <t>Activos Fijos</t>
  </si>
  <si>
    <t>PAF</t>
  </si>
  <si>
    <t>Palanca de crecimiento PDC</t>
  </si>
  <si>
    <t>PKT</t>
  </si>
  <si>
    <t>PDC</t>
  </si>
  <si>
    <t>INDUCTOR DE FLUJO DE CAJA LIBRE</t>
  </si>
  <si>
    <t>Utilidad Operativa</t>
  </si>
  <si>
    <t>Menos impuestos</t>
  </si>
  <si>
    <t>UODI</t>
  </si>
  <si>
    <t>Mas Depreciaciones</t>
  </si>
  <si>
    <t>Mas amortizacones</t>
  </si>
  <si>
    <t>Menos Variación  KTNO</t>
  </si>
  <si>
    <t>Menos Variación en Activos Fijos</t>
  </si>
  <si>
    <t>FLUJO DE CAJA LIBRE (FCL)</t>
  </si>
  <si>
    <t>INDUCTORES DE RENTABILIDAD</t>
  </si>
  <si>
    <t>ROA</t>
  </si>
  <si>
    <t>Maximo</t>
  </si>
  <si>
    <t>Minimo</t>
  </si>
  <si>
    <t>RAN</t>
  </si>
  <si>
    <t>UODI con Impuesto Real Pagado</t>
  </si>
  <si>
    <t xml:space="preserve"> Imp. Real Pagado</t>
  </si>
  <si>
    <t>UODI con Tasa de Impuesto</t>
  </si>
  <si>
    <t xml:space="preserve"> Imp. Simulado</t>
  </si>
  <si>
    <t>Activos netos de operación</t>
  </si>
  <si>
    <t>Activos Corrientes</t>
  </si>
  <si>
    <t>Activos Fijos (Propiedad Planta y Equipo)</t>
  </si>
  <si>
    <t>Cuentas por pagar proveedores</t>
  </si>
  <si>
    <t>Activos Netos de Operación</t>
  </si>
  <si>
    <t>ANALISIS DE RAZONES FINANCIERAS</t>
  </si>
  <si>
    <t>R/I</t>
  </si>
  <si>
    <t>Rentabilidad</t>
  </si>
  <si>
    <t>Rentabilidad Bruta</t>
  </si>
  <si>
    <t>Utilidad Bruta / Ventas</t>
  </si>
  <si>
    <t>Rentabilidad Operacional</t>
  </si>
  <si>
    <t>Utilidad Operacional / Ventas</t>
  </si>
  <si>
    <t>Rentabilidad Neta</t>
  </si>
  <si>
    <t>Utilidad Neta / Ventas</t>
  </si>
  <si>
    <t>ROE</t>
  </si>
  <si>
    <t>Utilidad Neta / Patrimonio</t>
  </si>
  <si>
    <t>Liquidez</t>
  </si>
  <si>
    <t>Capital de Trabajo</t>
  </si>
  <si>
    <t>Activo Corriente - Pasivo Corriente</t>
  </si>
  <si>
    <t>Razon Corriente</t>
  </si>
  <si>
    <t>Activo Corriente / Pasivo Corriente</t>
  </si>
  <si>
    <t>Prueba Acida</t>
  </si>
  <si>
    <t>(Activo Corriente - Inventarios) / Pasivo Corriente</t>
  </si>
  <si>
    <t>G</t>
  </si>
  <si>
    <t>Endeudamiento</t>
  </si>
  <si>
    <t>Nivel de Endeudamiento</t>
  </si>
  <si>
    <t>Total Pasivo / Total Activo</t>
  </si>
  <si>
    <t>Concentracion de Endeudamiento a Corto Plazo</t>
  </si>
  <si>
    <t>Pasivo Corriente / Pasivo Total</t>
  </si>
  <si>
    <t>Concentracion de Endeudamiento a Largo Plazo</t>
  </si>
  <si>
    <t>Pasivo No Corriente / Pasivo Total</t>
  </si>
  <si>
    <t>RAZONES DE ACTIVIDAD</t>
  </si>
  <si>
    <t>Actividad</t>
  </si>
  <si>
    <t>Rotacion del Patrimonio</t>
  </si>
  <si>
    <t>Ventas / Patrimonio</t>
  </si>
  <si>
    <t>Rotacion del Activo</t>
  </si>
  <si>
    <t>Ventas / Activo Total</t>
  </si>
  <si>
    <t>Rotacion de Cartera</t>
  </si>
  <si>
    <t>Ventas / Cuentas Por Cobrar Clientes</t>
  </si>
  <si>
    <t>Periodo de Cobro</t>
  </si>
  <si>
    <t>(Cuentas Por Cobrar Clientes / Ventas ) * 365</t>
  </si>
  <si>
    <t>(Inventarios / Costo de Ventas) * 365</t>
  </si>
  <si>
    <t>Ciclo Operacional</t>
  </si>
  <si>
    <t>Periodo de Cobro +  Rotacion de Inventarios</t>
  </si>
  <si>
    <t>Periodo de Pago a Proveedores</t>
  </si>
  <si>
    <t>(Cuentas por pagar Proveedores / Costo de Ventas) * 365</t>
  </si>
  <si>
    <t>FLUJO DE CAJA BRUTO</t>
  </si>
  <si>
    <t>DISTANCIA</t>
  </si>
  <si>
    <t>Días Rotación Inventario</t>
  </si>
  <si>
    <t>Días de Rotación</t>
  </si>
  <si>
    <t>Clientes</t>
  </si>
  <si>
    <t>Comparativo Industria vs. Empresa (Fuente: Damodaran)</t>
  </si>
  <si>
    <t>Margen Bruto</t>
  </si>
  <si>
    <t>Margen Operacional</t>
  </si>
  <si>
    <t>Concepto</t>
  </si>
  <si>
    <t>WACC</t>
  </si>
  <si>
    <t>Kd</t>
  </si>
  <si>
    <t>Ke</t>
  </si>
  <si>
    <t>Deudores/Ventas</t>
  </si>
  <si>
    <t>Inventarios/Ventas</t>
  </si>
  <si>
    <t>Cuentas por Pagar/Ventas</t>
  </si>
  <si>
    <t>Empresa (2019)</t>
  </si>
  <si>
    <t>D/(D+E)</t>
  </si>
  <si>
    <t>E/(D+E)</t>
  </si>
  <si>
    <t>Industria (31 Empresas)</t>
  </si>
  <si>
    <t>Ut OP</t>
  </si>
  <si>
    <t>Estructura</t>
  </si>
  <si>
    <t>Año 2019</t>
  </si>
  <si>
    <t>Promedio 2017 - 2019</t>
  </si>
  <si>
    <t>SIEMBRA CAMBIO S.A.S</t>
  </si>
  <si>
    <t>INDUCTORES OPERATIVOS</t>
  </si>
  <si>
    <t>Crecimiento Deseado de la empresa</t>
  </si>
  <si>
    <t>ESTRATEGIA 1 MEJORA DE LOS MARGENES DE UTILIDAD</t>
  </si>
  <si>
    <t>SPRINGATE INDEX</t>
  </si>
  <si>
    <t>La funcion discriminante es:</t>
  </si>
  <si>
    <t>Z = 1.03A + 3.07B + 0.66C + 0.40D</t>
  </si>
  <si>
    <t>A= Capital de trabajo / Activo total</t>
  </si>
  <si>
    <t>Liquidez de operación</t>
  </si>
  <si>
    <t>B = Utilidad neta antes de intereses e impuestos / Activo total</t>
  </si>
  <si>
    <t>productividad de caja operacional</t>
  </si>
  <si>
    <t>C = Utilidad neta antes de impuestos / Pasivo corriente</t>
  </si>
  <si>
    <t>Liquidez para cobertura corriente de pasivos</t>
  </si>
  <si>
    <t>D = Ventas / Activo Total</t>
  </si>
  <si>
    <t>Indice de productividad</t>
  </si>
  <si>
    <t>Valores de referencia</t>
  </si>
  <si>
    <t>Z &lt; 0,862 Riesgo de insolvencia</t>
  </si>
  <si>
    <t>Indicador Springate</t>
  </si>
  <si>
    <t>Capital de trabajo</t>
  </si>
  <si>
    <t>Activo total</t>
  </si>
  <si>
    <t>Utilidad neta antes de intereses e impuestos</t>
  </si>
  <si>
    <t>Utilidad neta antes de impuestos</t>
  </si>
  <si>
    <t>Pasivo corriente</t>
  </si>
  <si>
    <t>Factores</t>
  </si>
  <si>
    <t>A</t>
  </si>
  <si>
    <t>B</t>
  </si>
  <si>
    <t>C</t>
  </si>
  <si>
    <t>D</t>
  </si>
  <si>
    <t>Insolvencia</t>
  </si>
  <si>
    <t>Año 1</t>
  </si>
  <si>
    <t>Año 2</t>
  </si>
  <si>
    <t>Año 3</t>
  </si>
  <si>
    <t>Año 4</t>
  </si>
  <si>
    <t>Año 5</t>
  </si>
  <si>
    <t>Añ0 1</t>
  </si>
  <si>
    <t>Añ0 3</t>
  </si>
  <si>
    <t>Añ0 5</t>
  </si>
  <si>
    <t>SECTOR MANUFACTURERO</t>
  </si>
  <si>
    <t>Indicador de Altman</t>
  </si>
  <si>
    <t>ALTERNATIVAS DE CÁLCULO DE LAS VARIABLES DE Z-SCORE DE ALTMAN</t>
  </si>
  <si>
    <t>Activo corriente</t>
  </si>
  <si>
    <t>Alternativas de estudio para la variable Activos Corrientes</t>
  </si>
  <si>
    <t>(Activos Corrientes , Capital de trabajo, KTNO)</t>
  </si>
  <si>
    <t>Total Activos</t>
  </si>
  <si>
    <t>Alternativas de estudio para la variable Total Activos</t>
  </si>
  <si>
    <t>(Activos Totales, Activos de Operación)</t>
  </si>
  <si>
    <t>Total Pasivos</t>
  </si>
  <si>
    <t>Alternativas de estudio para la variable Total Pasivos</t>
  </si>
  <si>
    <t>(Pasivos Totales, Pasivos de Operación)</t>
  </si>
  <si>
    <t>Alternativas de estudio para la variable Patrimonio</t>
  </si>
  <si>
    <t>(Patromonio contable, Valor Empresa)</t>
  </si>
  <si>
    <t>Beneficios No Distribuidos</t>
  </si>
  <si>
    <t>Alternativas de estudio para la variable Reservas</t>
  </si>
  <si>
    <t>(Reservas Contables, Reservas Contables + Utilidades no distribuidas, Recursos Reservados y/o Provisionados Reales)</t>
  </si>
  <si>
    <t>Alternativas de estudio para la variable EBITDA</t>
  </si>
  <si>
    <t>(EBITDA, UODI (Tener en cuenta las diferentes transformaciones financieras))</t>
  </si>
  <si>
    <t>Alternativas de estudio para la variable Ventas</t>
  </si>
  <si>
    <t>(Ventas Totales , (Ventas Totales - Cuentas por pagar Clientes)</t>
  </si>
  <si>
    <t>Z= 1,2X1+1,4X2+3,3X3+ 0,6X4+ X5</t>
  </si>
  <si>
    <t>X1</t>
  </si>
  <si>
    <t>X1= Activos Circulantes / Total activos</t>
  </si>
  <si>
    <t>X2</t>
  </si>
  <si>
    <t>X2= Beneficios no distribuidos / Total activos</t>
  </si>
  <si>
    <t>X3</t>
  </si>
  <si>
    <t>X3= EBITDA/ Total activos</t>
  </si>
  <si>
    <t>X4</t>
  </si>
  <si>
    <t>X4= Patrimonio / pasivo total</t>
  </si>
  <si>
    <t>X5</t>
  </si>
  <si>
    <t>X5= Ventas / Total activos</t>
  </si>
  <si>
    <t>Peligro de quiebra</t>
  </si>
  <si>
    <t>Zona Gris</t>
  </si>
  <si>
    <t>Situación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</si>
</sst>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_-;\-* #,##0.00_-;_-* &quot;-&quot;_-;_-@_-"/>
    <numFmt numFmtId="166" formatCode="_-* #,##0_-;\-* #,##0_-;_-* &quot;-&quot;??_-;_-@_-"/>
    <numFmt numFmtId="167" formatCode="0.0%"/>
    <numFmt numFmtId="168" formatCode="_(&quot;$&quot;\ * #,##0_);_(&quot;$&quot;\ * \(#,##0\);_(&quot;$&quot;\ * &quot;-&quot;??_);_(@_)"/>
    <numFmt numFmtId="169" formatCode="0\ &quot;p&quot;"/>
    <numFmt numFmtId="170" formatCode="_(&quot;$&quot;* #,##0_);_(&quot;$&quot;* \(#,##0\);_(&quot;$&quot;* &quot;-&quot;??_);_(@_)"/>
    <numFmt numFmtId="171" formatCode="&quot;PIB = &quot;0.00%"/>
    <numFmt numFmtId="172" formatCode="#,##0.00%_ ;\(#,##0.00%\)"/>
    <numFmt numFmtId="173" formatCode="#,##0.0%_ ;\(#,##0.0%\)"/>
    <numFmt numFmtId="174" formatCode="_(* #,##0_);_(* \(#,##0\);_(* &quot;-&quot;??_);_(@_)"/>
    <numFmt numFmtId="175" formatCode="_(&quot;$&quot;\ * #,##0.00_);_(&quot;$&quot;\ * \(#,##0.00\);_(&quot;$&quot;\ * &quot;-&quot;??_);_(@_)"/>
    <numFmt numFmtId="176" formatCode="0.00\ \X"/>
    <numFmt numFmtId="177" formatCode="0.00%\ ;\(0.00%\)"/>
    <numFmt numFmtId="178" formatCode="_-* #,##0.0_-;\-* #,##0.0_-;_-* &quot;-&quot;?_-;_-@_-"/>
    <numFmt numFmtId="179" formatCode="_(* #,##0_);_(* \(#,##0\);_(* &quot;-&quot;_);_(@_)"/>
    <numFmt numFmtId="180" formatCode="&quot;Crecimiento = &quot;0.00%"/>
    <numFmt numFmtId="181" formatCode="_-* #,##0.00\ _€_-;\-* #,##0.00\ _€_-;_-* &quot;-&quot;??\ _€_-;_-@_-"/>
    <numFmt numFmtId="182" formatCode="_-* #,##0\ _€_-;\-* #,##0\ _€_-;_-* &quot;-&quot;??\ _€_-;_-@_-"/>
    <numFmt numFmtId="183" formatCode="0.0000"/>
    <numFmt numFmtId="184" formatCode="0.0"/>
    <numFmt numFmtId="185" formatCode="_-* #,##0.0000_-;\-* #,##0.0000_-;_-* &quot;-&quot;??_-;_-@_-"/>
    <numFmt numFmtId="186" formatCode="_-* #,##0.0000_-;\-* #,##0.0000_-;_-* &quot;-&quot;_-;_-@_-"/>
    <numFmt numFmtId="187" formatCode="_(* #,##0.00_);_(* \(#,##0.00\);_(* &quot;-&quot;??_);_(@_)"/>
  </numFmts>
  <fonts count="7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gency FB"/>
      <family val="2"/>
    </font>
    <font>
      <b/>
      <sz val="36"/>
      <color theme="0"/>
      <name val="Agency FB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AR DESTINE"/>
    </font>
    <font>
      <b/>
      <sz val="18"/>
      <color theme="0"/>
      <name val="Agency FB"/>
      <family val="2"/>
    </font>
    <font>
      <b/>
      <sz val="18"/>
      <color theme="1"/>
      <name val="Agency FB"/>
      <family val="2"/>
    </font>
    <font>
      <b/>
      <sz val="16"/>
      <color theme="1"/>
      <name val="Agency FB"/>
      <family val="2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vertAlign val="subscript"/>
      <sz val="11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</font>
    <font>
      <b/>
      <vertAlign val="subscript"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theme="0"/>
      <name val="Agency FB"/>
      <family val="2"/>
    </font>
    <font>
      <b/>
      <sz val="11"/>
      <color theme="0"/>
      <name val="Agency FB"/>
      <family val="2"/>
    </font>
    <font>
      <b/>
      <sz val="14"/>
      <color theme="0"/>
      <name val="Agency FB"/>
      <family val="2"/>
    </font>
    <font>
      <b/>
      <sz val="9"/>
      <color theme="0"/>
      <name val="Arial"/>
      <family val="2"/>
    </font>
    <font>
      <sz val="11"/>
      <name val="Arial"/>
      <family val="2"/>
    </font>
    <font>
      <b/>
      <vertAlign val="subscript"/>
      <sz val="9"/>
      <color theme="1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Agency FB"/>
      <family val="2"/>
    </font>
    <font>
      <b/>
      <sz val="10"/>
      <name val="Calibri"/>
      <family val="2"/>
      <scheme val="minor"/>
    </font>
    <font>
      <b/>
      <sz val="14"/>
      <color theme="1"/>
      <name val="Agency FB"/>
      <family val="2"/>
    </font>
    <font>
      <b/>
      <sz val="20"/>
      <color theme="1"/>
      <name val="Agency FB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36"/>
      <color theme="0" tint="-4.9989318521683403E-2"/>
      <name val="Agency FB"/>
      <family val="2"/>
    </font>
    <font>
      <sz val="11"/>
      <color theme="0" tint="-4.9989318521683403E-2"/>
      <name val="Calibri"/>
      <family val="2"/>
      <scheme val="minor"/>
    </font>
    <font>
      <b/>
      <sz val="12"/>
      <color theme="1"/>
      <name val="Franklin Gothic Book"/>
      <family val="2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color theme="1"/>
      <name val="Agency FB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 tint="-4.9989318521683403E-2"/>
      <name val="Calibri"/>
      <family val="2"/>
      <scheme val="minor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b/>
      <sz val="20"/>
      <color theme="0"/>
      <name val="Calibri"/>
      <family val="2"/>
      <scheme val="minor"/>
    </font>
    <font>
      <b/>
      <sz val="16"/>
      <color theme="0"/>
      <name val="Times New Roman"/>
      <family val="1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/>
    <xf numFmtId="0" fontId="40" fillId="0" borderId="0"/>
    <xf numFmtId="43" fontId="1" fillId="0" borderId="0" applyFont="0" applyFill="0" applyBorder="0" applyAlignment="0" applyProtection="0"/>
    <xf numFmtId="41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9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Alignment="1">
      <alignment horizontal="left"/>
    </xf>
    <xf numFmtId="0" fontId="0" fillId="2" borderId="9" xfId="0" applyFill="1" applyBorder="1"/>
    <xf numFmtId="0" fontId="4" fillId="7" borderId="11" xfId="0" applyFont="1" applyFill="1" applyBorder="1"/>
    <xf numFmtId="0" fontId="4" fillId="7" borderId="12" xfId="0" applyFont="1" applyFill="1" applyBorder="1"/>
    <xf numFmtId="41" fontId="0" fillId="2" borderId="9" xfId="1" applyFont="1" applyFill="1" applyBorder="1"/>
    <xf numFmtId="41" fontId="3" fillId="2" borderId="9" xfId="1" applyFont="1" applyFill="1" applyBorder="1"/>
    <xf numFmtId="41" fontId="1" fillId="2" borderId="9" xfId="1" applyFont="1" applyFill="1" applyBorder="1"/>
    <xf numFmtId="41" fontId="0" fillId="2" borderId="9" xfId="0" applyNumberFormat="1" applyFill="1" applyBorder="1"/>
    <xf numFmtId="0" fontId="3" fillId="3" borderId="13" xfId="0" applyNumberFormat="1" applyFont="1" applyFill="1" applyBorder="1"/>
    <xf numFmtId="3" fontId="3" fillId="2" borderId="9" xfId="0" applyNumberFormat="1" applyFont="1" applyFill="1" applyBorder="1"/>
    <xf numFmtId="10" fontId="0" fillId="2" borderId="9" xfId="2" applyNumberFormat="1" applyFont="1" applyFill="1" applyBorder="1"/>
    <xf numFmtId="10" fontId="3" fillId="2" borderId="9" xfId="2" applyNumberFormat="1" applyFont="1" applyFill="1" applyBorder="1"/>
    <xf numFmtId="0" fontId="3" fillId="3" borderId="15" xfId="0" applyNumberFormat="1" applyFont="1" applyFill="1" applyBorder="1"/>
    <xf numFmtId="0" fontId="2" fillId="3" borderId="13" xfId="0" applyNumberFormat="1" applyFont="1" applyFill="1" applyBorder="1"/>
    <xf numFmtId="165" fontId="3" fillId="2" borderId="9" xfId="1" applyNumberFormat="1" applyFont="1" applyFill="1" applyBorder="1"/>
    <xf numFmtId="10" fontId="0" fillId="2" borderId="0" xfId="0" applyNumberFormat="1" applyFill="1"/>
    <xf numFmtId="10" fontId="3" fillId="2" borderId="9" xfId="0" applyNumberFormat="1" applyFont="1" applyFill="1" applyBorder="1"/>
    <xf numFmtId="10" fontId="0" fillId="2" borderId="9" xfId="0" applyNumberFormat="1" applyFill="1" applyBorder="1"/>
    <xf numFmtId="0" fontId="2" fillId="3" borderId="14" xfId="0" applyNumberFormat="1" applyFont="1" applyFill="1" applyBorder="1"/>
    <xf numFmtId="0" fontId="2" fillId="9" borderId="14" xfId="0" applyNumberFormat="1" applyFont="1" applyFill="1" applyBorder="1"/>
    <xf numFmtId="0" fontId="2" fillId="9" borderId="18" xfId="0" applyNumberFormat="1" applyFont="1" applyFill="1" applyBorder="1"/>
    <xf numFmtId="10" fontId="0" fillId="2" borderId="10" xfId="0" applyNumberFormat="1" applyFill="1" applyBorder="1"/>
    <xf numFmtId="0" fontId="11" fillId="2" borderId="20" xfId="0" applyFont="1" applyFill="1" applyBorder="1" applyAlignment="1"/>
    <xf numFmtId="0" fontId="11" fillId="2" borderId="21" xfId="0" applyFont="1" applyFill="1" applyBorder="1" applyAlignment="1"/>
    <xf numFmtId="0" fontId="2" fillId="3" borderId="15" xfId="0" applyNumberFormat="1" applyFont="1" applyFill="1" applyBorder="1"/>
    <xf numFmtId="0" fontId="4" fillId="10" borderId="11" xfId="0" applyFont="1" applyFill="1" applyBorder="1"/>
    <xf numFmtId="0" fontId="4" fillId="10" borderId="26" xfId="0" applyFont="1" applyFill="1" applyBorder="1"/>
    <xf numFmtId="0" fontId="3" fillId="5" borderId="27" xfId="0" applyNumberFormat="1" applyFont="1" applyFill="1" applyBorder="1"/>
    <xf numFmtId="0" fontId="3" fillId="5" borderId="28" xfId="0" applyNumberFormat="1" applyFont="1" applyFill="1" applyBorder="1"/>
    <xf numFmtId="41" fontId="0" fillId="2" borderId="0" xfId="0" applyNumberFormat="1" applyFill="1"/>
    <xf numFmtId="0" fontId="2" fillId="9" borderId="27" xfId="0" applyNumberFormat="1" applyFont="1" applyFill="1" applyBorder="1"/>
    <xf numFmtId="0" fontId="2" fillId="9" borderId="28" xfId="0" applyNumberFormat="1" applyFont="1" applyFill="1" applyBorder="1"/>
    <xf numFmtId="0" fontId="2" fillId="9" borderId="29" xfId="0" applyNumberFormat="1" applyFont="1" applyFill="1" applyBorder="1"/>
    <xf numFmtId="166" fontId="0" fillId="2" borderId="9" xfId="0" applyNumberFormat="1" applyFill="1" applyBorder="1"/>
    <xf numFmtId="10" fontId="0" fillId="2" borderId="0" xfId="2" applyNumberFormat="1" applyFont="1" applyFill="1"/>
    <xf numFmtId="0" fontId="3" fillId="2" borderId="0" xfId="0" applyFont="1" applyFill="1" applyBorder="1" applyAlignment="1">
      <alignment horizontal="left"/>
    </xf>
    <xf numFmtId="10" fontId="15" fillId="2" borderId="9" xfId="2" applyNumberFormat="1" applyFont="1" applyFill="1" applyBorder="1"/>
    <xf numFmtId="0" fontId="0" fillId="2" borderId="0" xfId="0" applyFont="1" applyFill="1"/>
    <xf numFmtId="167" fontId="15" fillId="2" borderId="9" xfId="0" applyNumberFormat="1" applyFont="1" applyFill="1" applyBorder="1" applyAlignment="1">
      <alignment horizontal="center"/>
    </xf>
    <xf numFmtId="0" fontId="0" fillId="2" borderId="0" xfId="0" applyFont="1" applyFill="1" applyBorder="1"/>
    <xf numFmtId="167" fontId="14" fillId="2" borderId="9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67" fontId="15" fillId="2" borderId="0" xfId="2" applyNumberFormat="1" applyFont="1" applyFill="1" applyBorder="1"/>
    <xf numFmtId="10" fontId="15" fillId="2" borderId="10" xfId="0" applyNumberFormat="1" applyFont="1" applyFill="1" applyBorder="1" applyAlignment="1">
      <alignment horizontal="center"/>
    </xf>
    <xf numFmtId="10" fontId="15" fillId="2" borderId="10" xfId="2" applyNumberFormat="1" applyFont="1" applyFill="1" applyBorder="1" applyAlignment="1">
      <alignment horizontal="center"/>
    </xf>
    <xf numFmtId="10" fontId="14" fillId="2" borderId="10" xfId="2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2" fontId="3" fillId="2" borderId="9" xfId="0" applyNumberFormat="1" applyFont="1" applyFill="1" applyBorder="1"/>
    <xf numFmtId="0" fontId="3" fillId="2" borderId="9" xfId="0" applyFont="1" applyFill="1" applyBorder="1"/>
    <xf numFmtId="0" fontId="27" fillId="2" borderId="0" xfId="0" applyFont="1" applyFill="1"/>
    <xf numFmtId="0" fontId="35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169" fontId="34" fillId="2" borderId="0" xfId="0" applyNumberFormat="1" applyFont="1" applyFill="1" applyBorder="1" applyAlignment="1">
      <alignment horizontal="right" vertical="center" wrapText="1"/>
    </xf>
    <xf numFmtId="170" fontId="34" fillId="2" borderId="0" xfId="3" applyNumberFormat="1" applyFont="1" applyFill="1" applyBorder="1" applyAlignment="1">
      <alignment vertical="center"/>
    </xf>
    <xf numFmtId="170" fontId="35" fillId="2" borderId="0" xfId="3" applyNumberFormat="1" applyFont="1" applyFill="1" applyBorder="1" applyAlignment="1">
      <alignment vertical="center"/>
    </xf>
    <xf numFmtId="170" fontId="32" fillId="2" borderId="0" xfId="3" applyNumberFormat="1" applyFont="1" applyFill="1" applyBorder="1" applyAlignment="1">
      <alignment vertical="center"/>
    </xf>
    <xf numFmtId="0" fontId="35" fillId="2" borderId="4" xfId="0" applyFont="1" applyFill="1" applyBorder="1" applyAlignment="1">
      <alignment vertical="center"/>
    </xf>
    <xf numFmtId="0" fontId="29" fillId="2" borderId="4" xfId="0" applyFont="1" applyFill="1" applyBorder="1" applyAlignment="1">
      <alignment vertical="center"/>
    </xf>
    <xf numFmtId="10" fontId="3" fillId="2" borderId="0" xfId="2" applyNumberFormat="1" applyFont="1" applyFill="1" applyBorder="1"/>
    <xf numFmtId="0" fontId="5" fillId="2" borderId="0" xfId="0" applyFont="1" applyFill="1" applyBorder="1" applyAlignment="1">
      <alignment vertical="center"/>
    </xf>
    <xf numFmtId="0" fontId="34" fillId="21" borderId="23" xfId="0" quotePrefix="1" applyFont="1" applyFill="1" applyBorder="1" applyAlignment="1">
      <alignment horizontal="right" vertical="center"/>
    </xf>
    <xf numFmtId="0" fontId="34" fillId="21" borderId="25" xfId="0" quotePrefix="1" applyFont="1" applyFill="1" applyBorder="1" applyAlignment="1">
      <alignment horizontal="right" vertical="center"/>
    </xf>
    <xf numFmtId="0" fontId="35" fillId="21" borderId="25" xfId="0" applyFont="1" applyFill="1" applyBorder="1" applyAlignment="1">
      <alignment vertical="center"/>
    </xf>
    <xf numFmtId="0" fontId="34" fillId="21" borderId="25" xfId="0" applyFont="1" applyFill="1" applyBorder="1" applyAlignment="1">
      <alignment horizontal="center" vertical="center"/>
    </xf>
    <xf numFmtId="0" fontId="29" fillId="21" borderId="25" xfId="0" applyFont="1" applyFill="1" applyBorder="1" applyAlignment="1">
      <alignment vertical="center"/>
    </xf>
    <xf numFmtId="0" fontId="28" fillId="21" borderId="24" xfId="0" applyFont="1" applyFill="1" applyBorder="1" applyAlignment="1">
      <alignment horizontal="center" vertical="center"/>
    </xf>
    <xf numFmtId="169" fontId="39" fillId="9" borderId="9" xfId="0" applyNumberFormat="1" applyFont="1" applyFill="1" applyBorder="1" applyAlignment="1">
      <alignment horizontal="right" vertical="center" wrapText="1"/>
    </xf>
    <xf numFmtId="0" fontId="31" fillId="2" borderId="0" xfId="0" applyFont="1" applyFill="1" applyBorder="1" applyAlignment="1">
      <alignment vertical="center"/>
    </xf>
    <xf numFmtId="0" fontId="32" fillId="18" borderId="9" xfId="5" quotePrefix="1" applyFont="1" applyFill="1" applyBorder="1" applyAlignment="1">
      <alignment horizontal="center" vertical="center"/>
    </xf>
    <xf numFmtId="170" fontId="33" fillId="18" borderId="9" xfId="3" applyNumberFormat="1" applyFont="1" applyFill="1" applyBorder="1" applyAlignment="1">
      <alignment vertical="center"/>
    </xf>
    <xf numFmtId="0" fontId="32" fillId="18" borderId="9" xfId="5" applyFont="1" applyFill="1" applyBorder="1" applyAlignment="1">
      <alignment horizontal="center" vertical="center"/>
    </xf>
    <xf numFmtId="0" fontId="32" fillId="18" borderId="10" xfId="5" quotePrefix="1" applyFont="1" applyFill="1" applyBorder="1" applyAlignment="1">
      <alignment vertical="center"/>
    </xf>
    <xf numFmtId="0" fontId="33" fillId="18" borderId="12" xfId="0" applyFont="1" applyFill="1" applyBorder="1" applyAlignment="1">
      <alignment vertical="center"/>
    </xf>
    <xf numFmtId="171" fontId="32" fillId="18" borderId="9" xfId="0" applyNumberFormat="1" applyFont="1" applyFill="1" applyBorder="1" applyAlignment="1">
      <alignment vertical="center"/>
    </xf>
    <xf numFmtId="172" fontId="32" fillId="18" borderId="9" xfId="0" applyNumberFormat="1" applyFont="1" applyFill="1" applyBorder="1" applyAlignment="1">
      <alignment vertical="center"/>
    </xf>
    <xf numFmtId="0" fontId="30" fillId="16" borderId="30" xfId="0" applyFont="1" applyFill="1" applyBorder="1" applyAlignment="1">
      <alignment horizontal="center" vertical="center"/>
    </xf>
    <xf numFmtId="0" fontId="30" fillId="22" borderId="30" xfId="0" applyFont="1" applyFill="1" applyBorder="1" applyAlignment="1">
      <alignment horizontal="center" vertical="center"/>
    </xf>
    <xf numFmtId="170" fontId="31" fillId="16" borderId="10" xfId="3" applyNumberFormat="1" applyFont="1" applyFill="1" applyBorder="1" applyAlignment="1">
      <alignment vertical="center"/>
    </xf>
    <xf numFmtId="173" fontId="31" fillId="16" borderId="10" xfId="0" applyNumberFormat="1" applyFont="1" applyFill="1" applyBorder="1" applyAlignment="1">
      <alignment vertical="center"/>
    </xf>
    <xf numFmtId="170" fontId="30" fillId="16" borderId="10" xfId="3" applyNumberFormat="1" applyFont="1" applyFill="1" applyBorder="1" applyAlignment="1">
      <alignment vertical="center"/>
    </xf>
    <xf numFmtId="170" fontId="31" fillId="22" borderId="10" xfId="3" applyNumberFormat="1" applyFont="1" applyFill="1" applyBorder="1" applyAlignment="1">
      <alignment vertical="center"/>
    </xf>
    <xf numFmtId="172" fontId="31" fillId="22" borderId="10" xfId="0" applyNumberFormat="1" applyFont="1" applyFill="1" applyBorder="1" applyAlignment="1">
      <alignment vertical="center"/>
    </xf>
    <xf numFmtId="170" fontId="30" fillId="22" borderId="10" xfId="3" applyNumberFormat="1" applyFont="1" applyFill="1" applyBorder="1" applyAlignment="1">
      <alignment vertical="center"/>
    </xf>
    <xf numFmtId="168" fontId="0" fillId="2" borderId="9" xfId="0" applyNumberFormat="1" applyFont="1" applyFill="1" applyBorder="1"/>
    <xf numFmtId="174" fontId="3" fillId="2" borderId="9" xfId="0" applyNumberFormat="1" applyFont="1" applyFill="1" applyBorder="1"/>
    <xf numFmtId="174" fontId="0" fillId="2" borderId="0" xfId="0" applyNumberFormat="1" applyFill="1"/>
    <xf numFmtId="165" fontId="0" fillId="2" borderId="0" xfId="1" applyNumberFormat="1" applyFont="1" applyFill="1"/>
    <xf numFmtId="174" fontId="42" fillId="2" borderId="9" xfId="0" applyNumberFormat="1" applyFont="1" applyFill="1" applyBorder="1" applyAlignment="1">
      <alignment horizontal="center" vertical="center"/>
    </xf>
    <xf numFmtId="174" fontId="42" fillId="2" borderId="13" xfId="0" applyNumberFormat="1" applyFont="1" applyFill="1" applyBorder="1" applyAlignment="1">
      <alignment horizontal="center" vertical="center"/>
    </xf>
    <xf numFmtId="175" fontId="0" fillId="2" borderId="9" xfId="3" applyNumberFormat="1" applyFont="1" applyFill="1" applyBorder="1"/>
    <xf numFmtId="174" fontId="47" fillId="2" borderId="9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174" fontId="0" fillId="2" borderId="9" xfId="0" applyNumberFormat="1" applyFill="1" applyBorder="1"/>
    <xf numFmtId="2" fontId="0" fillId="2" borderId="9" xfId="0" applyNumberFormat="1" applyFill="1" applyBorder="1"/>
    <xf numFmtId="176" fontId="3" fillId="2" borderId="9" xfId="0" applyNumberFormat="1" applyFont="1" applyFill="1" applyBorder="1"/>
    <xf numFmtId="169" fontId="39" fillId="9" borderId="10" xfId="0" applyNumberFormat="1" applyFont="1" applyFill="1" applyBorder="1" applyAlignment="1">
      <alignment horizontal="right" vertical="center" wrapText="1"/>
    </xf>
    <xf numFmtId="0" fontId="3" fillId="2" borderId="0" xfId="0" applyFont="1" applyFill="1"/>
    <xf numFmtId="43" fontId="0" fillId="2" borderId="0" xfId="0" applyNumberFormat="1" applyFill="1"/>
    <xf numFmtId="0" fontId="3" fillId="2" borderId="0" xfId="0" applyFont="1" applyFill="1" applyBorder="1" applyAlignment="1">
      <alignment horizontal="left"/>
    </xf>
    <xf numFmtId="177" fontId="33" fillId="18" borderId="9" xfId="0" applyNumberFormat="1" applyFont="1" applyFill="1" applyBorder="1" applyAlignment="1">
      <alignment vertical="center"/>
    </xf>
    <xf numFmtId="10" fontId="34" fillId="14" borderId="12" xfId="2" applyNumberFormat="1" applyFont="1" applyFill="1" applyBorder="1" applyAlignment="1">
      <alignment horizontal="right" vertical="center" wrapText="1"/>
    </xf>
    <xf numFmtId="41" fontId="3" fillId="14" borderId="9" xfId="0" applyNumberFormat="1" applyFont="1" applyFill="1" applyBorder="1"/>
    <xf numFmtId="0" fontId="2" fillId="9" borderId="9" xfId="0" applyFont="1" applyFill="1" applyBorder="1" applyAlignment="1">
      <alignment horizontal="center" vertical="center"/>
    </xf>
    <xf numFmtId="3" fontId="34" fillId="24" borderId="12" xfId="0" applyNumberFormat="1" applyFont="1" applyFill="1" applyBorder="1" applyAlignment="1">
      <alignment horizontal="right" vertical="center" wrapText="1"/>
    </xf>
    <xf numFmtId="170" fontId="35" fillId="24" borderId="12" xfId="3" applyNumberFormat="1" applyFont="1" applyFill="1" applyBorder="1" applyAlignment="1">
      <alignment vertical="center"/>
    </xf>
    <xf numFmtId="170" fontId="35" fillId="24" borderId="41" xfId="3" applyNumberFormat="1" applyFont="1" applyFill="1" applyBorder="1" applyAlignment="1">
      <alignment vertical="center"/>
    </xf>
    <xf numFmtId="170" fontId="34" fillId="24" borderId="36" xfId="3" applyNumberFormat="1" applyFont="1" applyFill="1" applyBorder="1" applyAlignment="1">
      <alignment vertical="center"/>
    </xf>
    <xf numFmtId="170" fontId="34" fillId="24" borderId="12" xfId="3" applyNumberFormat="1" applyFont="1" applyFill="1" applyBorder="1" applyAlignment="1">
      <alignment vertical="center"/>
    </xf>
    <xf numFmtId="170" fontId="34" fillId="24" borderId="43" xfId="3" applyNumberFormat="1" applyFont="1" applyFill="1" applyBorder="1" applyAlignment="1">
      <alignment vertical="center"/>
    </xf>
    <xf numFmtId="170" fontId="32" fillId="24" borderId="12" xfId="3" applyNumberFormat="1" applyFont="1" applyFill="1" applyBorder="1" applyAlignment="1">
      <alignment vertical="center"/>
    </xf>
    <xf numFmtId="0" fontId="32" fillId="16" borderId="9" xfId="5" quotePrefix="1" applyFont="1" applyFill="1" applyBorder="1" applyAlignment="1">
      <alignment horizontal="center" vertical="center"/>
    </xf>
    <xf numFmtId="0" fontId="32" fillId="16" borderId="9" xfId="5" applyFont="1" applyFill="1" applyBorder="1" applyAlignment="1">
      <alignment horizontal="center" vertical="center"/>
    </xf>
    <xf numFmtId="0" fontId="32" fillId="16" borderId="10" xfId="5" quotePrefix="1" applyFont="1" applyFill="1" applyBorder="1" applyAlignment="1">
      <alignment vertical="center"/>
    </xf>
    <xf numFmtId="0" fontId="33" fillId="16" borderId="12" xfId="0" applyFont="1" applyFill="1" applyBorder="1" applyAlignment="1">
      <alignment vertical="center"/>
    </xf>
    <xf numFmtId="171" fontId="32" fillId="16" borderId="9" xfId="0" applyNumberFormat="1" applyFont="1" applyFill="1" applyBorder="1" applyAlignment="1">
      <alignment vertical="center"/>
    </xf>
    <xf numFmtId="170" fontId="0" fillId="2" borderId="0" xfId="0" applyNumberFormat="1" applyFill="1"/>
    <xf numFmtId="0" fontId="10" fillId="8" borderId="23" xfId="0" applyFont="1" applyFill="1" applyBorder="1" applyAlignment="1"/>
    <xf numFmtId="0" fontId="10" fillId="8" borderId="25" xfId="0" applyFont="1" applyFill="1" applyBorder="1" applyAlignment="1"/>
    <xf numFmtId="167" fontId="0" fillId="2" borderId="0" xfId="2" applyNumberFormat="1" applyFont="1" applyFill="1"/>
    <xf numFmtId="167" fontId="0" fillId="2" borderId="0" xfId="2" applyNumberFormat="1" applyFont="1" applyFill="1" applyBorder="1"/>
    <xf numFmtId="167" fontId="0" fillId="2" borderId="0" xfId="0" applyNumberFormat="1" applyFill="1" applyBorder="1"/>
    <xf numFmtId="0" fontId="4" fillId="2" borderId="0" xfId="0" applyFont="1" applyFill="1" applyBorder="1"/>
    <xf numFmtId="0" fontId="3" fillId="8" borderId="30" xfId="0" applyFont="1" applyFill="1" applyBorder="1"/>
    <xf numFmtId="176" fontId="7" fillId="8" borderId="30" xfId="0" applyNumberFormat="1" applyFont="1" applyFill="1" applyBorder="1"/>
    <xf numFmtId="41" fontId="0" fillId="2" borderId="0" xfId="0" applyNumberFormat="1" applyFill="1" applyBorder="1"/>
    <xf numFmtId="10" fontId="3" fillId="2" borderId="0" xfId="0" applyNumberFormat="1" applyFont="1" applyFill="1"/>
    <xf numFmtId="0" fontId="2" fillId="9" borderId="17" xfId="0" applyNumberFormat="1" applyFont="1" applyFill="1" applyBorder="1"/>
    <xf numFmtId="0" fontId="2" fillId="9" borderId="48" xfId="0" applyNumberFormat="1" applyFont="1" applyFill="1" applyBorder="1"/>
    <xf numFmtId="0" fontId="0" fillId="2" borderId="0" xfId="0" applyFill="1" applyBorder="1" applyAlignment="1">
      <alignment horizontal="left"/>
    </xf>
    <xf numFmtId="10" fontId="3" fillId="2" borderId="12" xfId="2" applyNumberFormat="1" applyFont="1" applyFill="1" applyBorder="1"/>
    <xf numFmtId="10" fontId="0" fillId="2" borderId="12" xfId="2" applyNumberFormat="1" applyFont="1" applyFill="1" applyBorder="1"/>
    <xf numFmtId="166" fontId="52" fillId="2" borderId="9" xfId="6" applyNumberFormat="1" applyFont="1" applyFill="1" applyBorder="1"/>
    <xf numFmtId="41" fontId="54" fillId="2" borderId="9" xfId="7" applyFont="1" applyFill="1" applyBorder="1"/>
    <xf numFmtId="0" fontId="0" fillId="2" borderId="0" xfId="0" applyFill="1" applyBorder="1" applyAlignment="1">
      <alignment horizontal="left"/>
    </xf>
    <xf numFmtId="0" fontId="52" fillId="2" borderId="6" xfId="0" applyFont="1" applyFill="1" applyBorder="1"/>
    <xf numFmtId="0" fontId="0" fillId="2" borderId="7" xfId="0" applyFill="1" applyBorder="1"/>
    <xf numFmtId="0" fontId="4" fillId="9" borderId="11" xfId="0" applyFont="1" applyFill="1" applyBorder="1"/>
    <xf numFmtId="0" fontId="3" fillId="2" borderId="0" xfId="0" applyFont="1" applyFill="1" applyBorder="1"/>
    <xf numFmtId="178" fontId="0" fillId="2" borderId="0" xfId="0" applyNumberFormat="1" applyFill="1" applyBorder="1"/>
    <xf numFmtId="0" fontId="2" fillId="2" borderId="0" xfId="0" applyNumberFormat="1" applyFont="1" applyFill="1" applyBorder="1"/>
    <xf numFmtId="0" fontId="3" fillId="3" borderId="17" xfId="0" applyNumberFormat="1" applyFont="1" applyFill="1" applyBorder="1"/>
    <xf numFmtId="0" fontId="3" fillId="3" borderId="48" xfId="0" applyNumberFormat="1" applyFont="1" applyFill="1" applyBorder="1"/>
    <xf numFmtId="3" fontId="7" fillId="2" borderId="9" xfId="0" applyNumberFormat="1" applyFont="1" applyFill="1" applyBorder="1"/>
    <xf numFmtId="41" fontId="7" fillId="6" borderId="9" xfId="1" applyFont="1" applyFill="1" applyBorder="1"/>
    <xf numFmtId="41" fontId="7" fillId="9" borderId="11" xfId="1" applyFont="1" applyFill="1" applyBorder="1"/>
    <xf numFmtId="41" fontId="7" fillId="2" borderId="9" xfId="1" applyFont="1" applyFill="1" applyBorder="1"/>
    <xf numFmtId="0" fontId="4" fillId="4" borderId="6" xfId="0" applyFont="1" applyFill="1" applyBorder="1"/>
    <xf numFmtId="0" fontId="0" fillId="4" borderId="7" xfId="0" applyFill="1" applyBorder="1"/>
    <xf numFmtId="0" fontId="0" fillId="4" borderId="8" xfId="0" applyFill="1" applyBorder="1"/>
    <xf numFmtId="9" fontId="3" fillId="2" borderId="9" xfId="2" applyNumberFormat="1" applyFont="1" applyFill="1" applyBorder="1"/>
    <xf numFmtId="170" fontId="32" fillId="5" borderId="12" xfId="3" applyNumberFormat="1" applyFont="1" applyFill="1" applyBorder="1" applyAlignment="1">
      <alignment vertical="center"/>
    </xf>
    <xf numFmtId="10" fontId="0" fillId="2" borderId="9" xfId="0" applyNumberFormat="1" applyFont="1" applyFill="1" applyBorder="1"/>
    <xf numFmtId="0" fontId="57" fillId="25" borderId="4" xfId="0" applyFont="1" applyFill="1" applyBorder="1" applyAlignment="1"/>
    <xf numFmtId="0" fontId="57" fillId="25" borderId="0" xfId="0" applyFont="1" applyFill="1" applyBorder="1" applyAlignment="1"/>
    <xf numFmtId="0" fontId="4" fillId="25" borderId="6" xfId="0" applyFont="1" applyFill="1" applyBorder="1"/>
    <xf numFmtId="0" fontId="0" fillId="25" borderId="7" xfId="0" applyFill="1" applyBorder="1"/>
    <xf numFmtId="0" fontId="0" fillId="25" borderId="8" xfId="0" applyFill="1" applyBorder="1"/>
    <xf numFmtId="9" fontId="0" fillId="2" borderId="0" xfId="2" applyFont="1" applyFill="1"/>
    <xf numFmtId="166" fontId="0" fillId="2" borderId="9" xfId="9" applyNumberFormat="1" applyFont="1" applyFill="1" applyBorder="1"/>
    <xf numFmtId="0" fontId="2" fillId="9" borderId="49" xfId="0" applyNumberFormat="1" applyFont="1" applyFill="1" applyBorder="1"/>
    <xf numFmtId="0" fontId="2" fillId="9" borderId="50" xfId="0" applyNumberFormat="1" applyFont="1" applyFill="1" applyBorder="1"/>
    <xf numFmtId="10" fontId="0" fillId="2" borderId="32" xfId="0" applyNumberFormat="1" applyFill="1" applyBorder="1"/>
    <xf numFmtId="10" fontId="0" fillId="2" borderId="46" xfId="0" applyNumberFormat="1" applyFill="1" applyBorder="1"/>
    <xf numFmtId="10" fontId="0" fillId="2" borderId="32" xfId="2" applyNumberFormat="1" applyFont="1" applyFill="1" applyBorder="1"/>
    <xf numFmtId="10" fontId="0" fillId="2" borderId="46" xfId="2" applyNumberFormat="1" applyFont="1" applyFill="1" applyBorder="1"/>
    <xf numFmtId="10" fontId="3" fillId="12" borderId="32" xfId="0" applyNumberFormat="1" applyFont="1" applyFill="1" applyBorder="1"/>
    <xf numFmtId="10" fontId="0" fillId="2" borderId="12" xfId="0" applyNumberFormat="1" applyFill="1" applyBorder="1"/>
    <xf numFmtId="10" fontId="3" fillId="2" borderId="0" xfId="2" applyNumberFormat="1" applyFont="1" applyFill="1" applyBorder="1" applyAlignment="1">
      <alignment horizontal="center"/>
    </xf>
    <xf numFmtId="10" fontId="3" fillId="28" borderId="34" xfId="2" applyNumberFormat="1" applyFont="1" applyFill="1" applyBorder="1"/>
    <xf numFmtId="0" fontId="2" fillId="9" borderId="35" xfId="0" applyNumberFormat="1" applyFont="1" applyFill="1" applyBorder="1"/>
    <xf numFmtId="10" fontId="3" fillId="27" borderId="41" xfId="2" applyNumberFormat="1" applyFont="1" applyFill="1" applyBorder="1"/>
    <xf numFmtId="0" fontId="3" fillId="2" borderId="26" xfId="0" applyFont="1" applyFill="1" applyBorder="1"/>
    <xf numFmtId="0" fontId="0" fillId="2" borderId="51" xfId="0" applyFill="1" applyBorder="1"/>
    <xf numFmtId="0" fontId="3" fillId="2" borderId="52" xfId="0" applyFont="1" applyFill="1" applyBorder="1"/>
    <xf numFmtId="0" fontId="10" fillId="8" borderId="5" xfId="0" applyFont="1" applyFill="1" applyBorder="1" applyAlignment="1"/>
    <xf numFmtId="0" fontId="11" fillId="2" borderId="1" xfId="0" applyFont="1" applyFill="1" applyBorder="1" applyAlignment="1"/>
    <xf numFmtId="0" fontId="11" fillId="2" borderId="2" xfId="0" applyFont="1" applyFill="1" applyBorder="1" applyAlignment="1"/>
    <xf numFmtId="0" fontId="14" fillId="2" borderId="9" xfId="0" applyFont="1" applyFill="1" applyBorder="1"/>
    <xf numFmtId="0" fontId="3" fillId="2" borderId="54" xfId="0" applyFont="1" applyFill="1" applyBorder="1"/>
    <xf numFmtId="167" fontId="0" fillId="2" borderId="55" xfId="0" applyNumberFormat="1" applyFill="1" applyBorder="1"/>
    <xf numFmtId="167" fontId="0" fillId="2" borderId="56" xfId="0" applyNumberFormat="1" applyFill="1" applyBorder="1"/>
    <xf numFmtId="0" fontId="3" fillId="2" borderId="27" xfId="0" applyFont="1" applyFill="1" applyBorder="1"/>
    <xf numFmtId="0" fontId="3" fillId="27" borderId="28" xfId="0" applyFont="1" applyFill="1" applyBorder="1"/>
    <xf numFmtId="0" fontId="3" fillId="27" borderId="29" xfId="0" applyFont="1" applyFill="1" applyBorder="1"/>
    <xf numFmtId="167" fontId="0" fillId="2" borderId="54" xfId="0" applyNumberFormat="1" applyFill="1" applyBorder="1"/>
    <xf numFmtId="0" fontId="2" fillId="9" borderId="27" xfId="0" applyFont="1" applyFill="1" applyBorder="1"/>
    <xf numFmtId="0" fontId="2" fillId="9" borderId="28" xfId="0" applyFont="1" applyFill="1" applyBorder="1"/>
    <xf numFmtId="0" fontId="2" fillId="9" borderId="29" xfId="0" applyFont="1" applyFill="1" applyBorder="1"/>
    <xf numFmtId="10" fontId="2" fillId="9" borderId="13" xfId="0" applyNumberFormat="1" applyFont="1" applyFill="1" applyBorder="1"/>
    <xf numFmtId="0" fontId="15" fillId="2" borderId="0" xfId="0" applyFont="1" applyFill="1" applyBorder="1"/>
    <xf numFmtId="10" fontId="15" fillId="2" borderId="0" xfId="2" applyNumberFormat="1" applyFont="1" applyFill="1" applyBorder="1"/>
    <xf numFmtId="0" fontId="2" fillId="9" borderId="27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180" fontId="34" fillId="18" borderId="9" xfId="0" applyNumberFormat="1" applyFont="1" applyFill="1" applyBorder="1" applyAlignment="1">
      <alignment horizontal="left" vertical="center"/>
    </xf>
    <xf numFmtId="174" fontId="44" fillId="9" borderId="9" xfId="0" applyNumberFormat="1" applyFont="1" applyFill="1" applyBorder="1" applyAlignment="1">
      <alignment horizontal="center"/>
    </xf>
    <xf numFmtId="174" fontId="2" fillId="9" borderId="9" xfId="0" applyNumberFormat="1" applyFont="1" applyFill="1" applyBorder="1"/>
    <xf numFmtId="176" fontId="45" fillId="9" borderId="9" xfId="0" applyNumberFormat="1" applyFont="1" applyFill="1" applyBorder="1" applyAlignment="1">
      <alignment horizontal="right"/>
    </xf>
    <xf numFmtId="0" fontId="2" fillId="9" borderId="9" xfId="0" applyFont="1" applyFill="1" applyBorder="1"/>
    <xf numFmtId="170" fontId="34" fillId="2" borderId="9" xfId="3" applyNumberFormat="1" applyFont="1" applyFill="1" applyBorder="1" applyAlignment="1">
      <alignment vertical="center"/>
    </xf>
    <xf numFmtId="170" fontId="35" fillId="2" borderId="9" xfId="3" applyNumberFormat="1" applyFont="1" applyFill="1" applyBorder="1" applyAlignment="1">
      <alignment vertical="center"/>
    </xf>
    <xf numFmtId="0" fontId="59" fillId="9" borderId="9" xfId="0" applyFont="1" applyFill="1" applyBorder="1" applyAlignment="1">
      <alignment horizontal="center" vertical="center" wrapText="1"/>
    </xf>
    <xf numFmtId="176" fontId="7" fillId="20" borderId="30" xfId="0" applyNumberFormat="1" applyFont="1" applyFill="1" applyBorder="1"/>
    <xf numFmtId="0" fontId="3" fillId="20" borderId="30" xfId="0" applyFont="1" applyFill="1" applyBorder="1"/>
    <xf numFmtId="176" fontId="3" fillId="2" borderId="26" xfId="0" applyNumberFormat="1" applyFont="1" applyFill="1" applyBorder="1"/>
    <xf numFmtId="176" fontId="3" fillId="2" borderId="51" xfId="0" applyNumberFormat="1" applyFont="1" applyFill="1" applyBorder="1"/>
    <xf numFmtId="176" fontId="3" fillId="2" borderId="52" xfId="0" applyNumberFormat="1" applyFont="1" applyFill="1" applyBorder="1"/>
    <xf numFmtId="41" fontId="0" fillId="2" borderId="31" xfId="0" applyNumberFormat="1" applyFill="1" applyBorder="1"/>
    <xf numFmtId="41" fontId="0" fillId="2" borderId="53" xfId="0" applyNumberFormat="1" applyFill="1" applyBorder="1"/>
    <xf numFmtId="176" fontId="3" fillId="2" borderId="53" xfId="0" applyNumberFormat="1" applyFont="1" applyFill="1" applyBorder="1"/>
    <xf numFmtId="2" fontId="0" fillId="2" borderId="45" xfId="0" applyNumberFormat="1" applyFill="1" applyBorder="1"/>
    <xf numFmtId="41" fontId="0" fillId="2" borderId="32" xfId="0" applyNumberFormat="1" applyFill="1" applyBorder="1"/>
    <xf numFmtId="2" fontId="0" fillId="2" borderId="46" xfId="0" applyNumberFormat="1" applyFill="1" applyBorder="1"/>
    <xf numFmtId="174" fontId="0" fillId="2" borderId="32" xfId="0" applyNumberFormat="1" applyFill="1" applyBorder="1"/>
    <xf numFmtId="174" fontId="0" fillId="2" borderId="34" xfId="0" applyNumberFormat="1" applyFill="1" applyBorder="1"/>
    <xf numFmtId="41" fontId="0" fillId="2" borderId="33" xfId="0" applyNumberFormat="1" applyFill="1" applyBorder="1"/>
    <xf numFmtId="176" fontId="3" fillId="2" borderId="33" xfId="0" applyNumberFormat="1" applyFont="1" applyFill="1" applyBorder="1"/>
    <xf numFmtId="2" fontId="0" fillId="2" borderId="47" xfId="0" applyNumberFormat="1" applyFill="1" applyBorder="1"/>
    <xf numFmtId="3" fontId="34" fillId="18" borderId="12" xfId="0" applyNumberFormat="1" applyFont="1" applyFill="1" applyBorder="1" applyAlignment="1">
      <alignment horizontal="right" vertical="center" wrapText="1"/>
    </xf>
    <xf numFmtId="170" fontId="35" fillId="18" borderId="12" xfId="3" applyNumberFormat="1" applyFont="1" applyFill="1" applyBorder="1" applyAlignment="1">
      <alignment vertical="center"/>
    </xf>
    <xf numFmtId="170" fontId="35" fillId="18" borderId="41" xfId="3" applyNumberFormat="1" applyFont="1" applyFill="1" applyBorder="1" applyAlignment="1">
      <alignment vertical="center"/>
    </xf>
    <xf numFmtId="170" fontId="34" fillId="18" borderId="36" xfId="3" applyNumberFormat="1" applyFont="1" applyFill="1" applyBorder="1" applyAlignment="1">
      <alignment vertical="center"/>
    </xf>
    <xf numFmtId="170" fontId="34" fillId="18" borderId="12" xfId="3" applyNumberFormat="1" applyFont="1" applyFill="1" applyBorder="1" applyAlignment="1">
      <alignment vertical="center"/>
    </xf>
    <xf numFmtId="170" fontId="35" fillId="18" borderId="9" xfId="3" applyNumberFormat="1" applyFont="1" applyFill="1" applyBorder="1" applyAlignment="1">
      <alignment vertical="center"/>
    </xf>
    <xf numFmtId="170" fontId="34" fillId="18" borderId="43" xfId="3" applyNumberFormat="1" applyFont="1" applyFill="1" applyBorder="1" applyAlignment="1">
      <alignment vertical="center"/>
    </xf>
    <xf numFmtId="0" fontId="35" fillId="21" borderId="4" xfId="0" applyFont="1" applyFill="1" applyBorder="1" applyAlignment="1">
      <alignment vertical="center"/>
    </xf>
    <xf numFmtId="0" fontId="34" fillId="21" borderId="4" xfId="0" applyFont="1" applyFill="1" applyBorder="1" applyAlignment="1">
      <alignment horizontal="center" vertical="center"/>
    </xf>
    <xf numFmtId="170" fontId="32" fillId="18" borderId="12" xfId="3" applyNumberFormat="1" applyFont="1" applyFill="1" applyBorder="1" applyAlignment="1">
      <alignment vertical="center"/>
    </xf>
    <xf numFmtId="0" fontId="0" fillId="20" borderId="10" xfId="0" applyFill="1" applyBorder="1" applyAlignment="1"/>
    <xf numFmtId="0" fontId="0" fillId="20" borderId="11" xfId="0" applyFill="1" applyBorder="1" applyAlignment="1"/>
    <xf numFmtId="0" fontId="0" fillId="20" borderId="12" xfId="0" applyFill="1" applyBorder="1" applyAlignment="1"/>
    <xf numFmtId="41" fontId="3" fillId="2" borderId="37" xfId="1" applyFont="1" applyFill="1" applyBorder="1"/>
    <xf numFmtId="0" fontId="0" fillId="20" borderId="38" xfId="0" applyFill="1" applyBorder="1" applyAlignment="1"/>
    <xf numFmtId="0" fontId="3" fillId="20" borderId="10" xfId="0" applyFont="1" applyFill="1" applyBorder="1" applyAlignment="1"/>
    <xf numFmtId="170" fontId="3" fillId="2" borderId="57" xfId="0" applyNumberFormat="1" applyFont="1" applyFill="1" applyBorder="1"/>
    <xf numFmtId="170" fontId="3" fillId="2" borderId="14" xfId="0" applyNumberFormat="1" applyFont="1" applyFill="1" applyBorder="1"/>
    <xf numFmtId="0" fontId="3" fillId="20" borderId="11" xfId="0" applyFont="1" applyFill="1" applyBorder="1" applyAlignment="1"/>
    <xf numFmtId="0" fontId="3" fillId="20" borderId="12" xfId="0" applyFont="1" applyFill="1" applyBorder="1" applyAlignment="1"/>
    <xf numFmtId="0" fontId="0" fillId="20" borderId="57" xfId="0" applyFill="1" applyBorder="1" applyAlignment="1"/>
    <xf numFmtId="0" fontId="0" fillId="20" borderId="37" xfId="0" applyFill="1" applyBorder="1" applyAlignment="1"/>
    <xf numFmtId="0" fontId="0" fillId="20" borderId="40" xfId="0" applyFill="1" applyBorder="1" applyAlignment="1"/>
    <xf numFmtId="10" fontId="0" fillId="2" borderId="58" xfId="0" applyNumberFormat="1" applyFill="1" applyBorder="1"/>
    <xf numFmtId="170" fontId="3" fillId="2" borderId="13" xfId="0" applyNumberFormat="1" applyFont="1" applyFill="1" applyBorder="1"/>
    <xf numFmtId="10" fontId="34" fillId="2" borderId="12" xfId="2" applyNumberFormat="1" applyFont="1" applyFill="1" applyBorder="1" applyAlignment="1">
      <alignment horizontal="right" vertical="center" wrapText="1"/>
    </xf>
    <xf numFmtId="41" fontId="0" fillId="2" borderId="9" xfId="1" applyNumberFormat="1" applyFont="1" applyFill="1" applyBorder="1"/>
    <xf numFmtId="167" fontId="0" fillId="2" borderId="9" xfId="2" applyNumberFormat="1" applyFont="1" applyFill="1" applyBorder="1"/>
    <xf numFmtId="10" fontId="2" fillId="6" borderId="9" xfId="0" applyNumberFormat="1" applyFont="1" applyFill="1" applyBorder="1"/>
    <xf numFmtId="0" fontId="2" fillId="6" borderId="9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 vertical="center" wrapText="1"/>
    </xf>
    <xf numFmtId="174" fontId="44" fillId="6" borderId="9" xfId="0" applyNumberFormat="1" applyFont="1" applyFill="1" applyBorder="1" applyAlignment="1">
      <alignment horizontal="center"/>
    </xf>
    <xf numFmtId="174" fontId="2" fillId="6" borderId="9" xfId="0" applyNumberFormat="1" applyFont="1" applyFill="1" applyBorder="1"/>
    <xf numFmtId="176" fontId="45" fillId="6" borderId="9" xfId="0" applyNumberFormat="1" applyFont="1" applyFill="1" applyBorder="1" applyAlignment="1">
      <alignment horizontal="right"/>
    </xf>
    <xf numFmtId="0" fontId="2" fillId="6" borderId="9" xfId="0" applyFont="1" applyFill="1" applyBorder="1"/>
    <xf numFmtId="170" fontId="33" fillId="2" borderId="9" xfId="3" applyNumberFormat="1" applyFont="1" applyFill="1" applyBorder="1" applyAlignment="1">
      <alignment vertical="center"/>
    </xf>
    <xf numFmtId="177" fontId="33" fillId="2" borderId="9" xfId="0" applyNumberFormat="1" applyFont="1" applyFill="1" applyBorder="1" applyAlignment="1">
      <alignment vertical="center"/>
    </xf>
    <xf numFmtId="172" fontId="32" fillId="2" borderId="9" xfId="0" applyNumberFormat="1" applyFont="1" applyFill="1" applyBorder="1" applyAlignment="1">
      <alignment vertical="center"/>
    </xf>
    <xf numFmtId="170" fontId="31" fillId="2" borderId="10" xfId="3" applyNumberFormat="1" applyFont="1" applyFill="1" applyBorder="1" applyAlignment="1">
      <alignment vertical="center"/>
    </xf>
    <xf numFmtId="173" fontId="31" fillId="2" borderId="10" xfId="0" applyNumberFormat="1" applyFont="1" applyFill="1" applyBorder="1" applyAlignment="1">
      <alignment vertical="center"/>
    </xf>
    <xf numFmtId="170" fontId="30" fillId="2" borderId="10" xfId="3" applyNumberFormat="1" applyFont="1" applyFill="1" applyBorder="1" applyAlignment="1">
      <alignment vertical="center"/>
    </xf>
    <xf numFmtId="172" fontId="31" fillId="2" borderId="10" xfId="0" applyNumberFormat="1" applyFont="1" applyFill="1" applyBorder="1" applyAlignment="1">
      <alignment vertical="center"/>
    </xf>
    <xf numFmtId="180" fontId="32" fillId="16" borderId="9" xfId="0" applyNumberFormat="1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176" fontId="3" fillId="2" borderId="59" xfId="0" applyNumberFormat="1" applyFont="1" applyFill="1" applyBorder="1"/>
    <xf numFmtId="2" fontId="0" fillId="2" borderId="59" xfId="0" applyNumberFormat="1" applyFill="1" applyBorder="1"/>
    <xf numFmtId="41" fontId="0" fillId="2" borderId="59" xfId="0" applyNumberFormat="1" applyFill="1" applyBorder="1"/>
    <xf numFmtId="0" fontId="45" fillId="9" borderId="30" xfId="0" applyFont="1" applyFill="1" applyBorder="1" applyAlignment="1">
      <alignment horizontal="center" vertical="center"/>
    </xf>
    <xf numFmtId="0" fontId="45" fillId="6" borderId="30" xfId="0" applyFont="1" applyFill="1" applyBorder="1" applyAlignment="1">
      <alignment horizontal="center" vertical="center" wrapText="1"/>
    </xf>
    <xf numFmtId="0" fontId="7" fillId="20" borderId="30" xfId="0" applyFont="1" applyFill="1" applyBorder="1" applyAlignment="1">
      <alignment horizontal="center" vertical="center" wrapText="1"/>
    </xf>
    <xf numFmtId="43" fontId="0" fillId="2" borderId="0" xfId="9" applyFont="1" applyFill="1"/>
    <xf numFmtId="41" fontId="3" fillId="2" borderId="9" xfId="1" applyNumberFormat="1" applyFont="1" applyFill="1" applyBorder="1"/>
    <xf numFmtId="0" fontId="2" fillId="3" borderId="35" xfId="0" applyNumberFormat="1" applyFont="1" applyFill="1" applyBorder="1"/>
    <xf numFmtId="10" fontId="0" fillId="8" borderId="12" xfId="2" applyNumberFormat="1" applyFont="1" applyFill="1" applyBorder="1"/>
    <xf numFmtId="10" fontId="0" fillId="8" borderId="12" xfId="0" applyNumberFormat="1" applyFill="1" applyBorder="1"/>
    <xf numFmtId="10" fontId="3" fillId="11" borderId="9" xfId="0" applyNumberFormat="1" applyFont="1" applyFill="1" applyBorder="1" applyAlignment="1">
      <alignment vertical="center"/>
    </xf>
    <xf numFmtId="165" fontId="3" fillId="2" borderId="9" xfId="0" applyNumberFormat="1" applyFont="1" applyFill="1" applyBorder="1"/>
    <xf numFmtId="166" fontId="0" fillId="2" borderId="0" xfId="9" applyNumberFormat="1" applyFont="1" applyFill="1"/>
    <xf numFmtId="10" fontId="34" fillId="2" borderId="0" xfId="2" applyNumberFormat="1" applyFont="1" applyFill="1" applyBorder="1" applyAlignment="1">
      <alignment horizontal="right" vertical="center" wrapText="1"/>
    </xf>
    <xf numFmtId="10" fontId="34" fillId="2" borderId="9" xfId="2" applyNumberFormat="1" applyFont="1" applyFill="1" applyBorder="1" applyAlignment="1">
      <alignment horizontal="right" vertical="center" wrapText="1"/>
    </xf>
    <xf numFmtId="184" fontId="3" fillId="2" borderId="9" xfId="0" applyNumberFormat="1" applyFont="1" applyFill="1" applyBorder="1"/>
    <xf numFmtId="10" fontId="0" fillId="2" borderId="9" xfId="2" applyNumberFormat="1" applyFont="1" applyFill="1" applyBorder="1" applyAlignment="1">
      <alignment horizontal="center"/>
    </xf>
    <xf numFmtId="10" fontId="0" fillId="2" borderId="0" xfId="0" applyNumberFormat="1" applyFont="1" applyFill="1" applyBorder="1"/>
    <xf numFmtId="10" fontId="3" fillId="2" borderId="0" xfId="0" applyNumberFormat="1" applyFont="1" applyFill="1" applyBorder="1"/>
    <xf numFmtId="0" fontId="4" fillId="0" borderId="0" xfId="0" applyFont="1" applyFill="1" applyBorder="1"/>
    <xf numFmtId="0" fontId="4" fillId="31" borderId="9" xfId="0" applyFont="1" applyFill="1" applyBorder="1" applyAlignment="1">
      <alignment horizontal="center"/>
    </xf>
    <xf numFmtId="169" fontId="0" fillId="2" borderId="0" xfId="0" applyNumberFormat="1" applyFill="1"/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7" xfId="0" applyFont="1" applyFill="1" applyBorder="1"/>
    <xf numFmtId="0" fontId="0" fillId="2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41" fontId="0" fillId="2" borderId="0" xfId="0" applyNumberFormat="1" applyFont="1" applyFill="1"/>
    <xf numFmtId="1" fontId="0" fillId="8" borderId="9" xfId="0" applyNumberFormat="1" applyFont="1" applyFill="1" applyBorder="1"/>
    <xf numFmtId="10" fontId="0" fillId="2" borderId="0" xfId="0" applyNumberFormat="1" applyFont="1" applyFill="1"/>
    <xf numFmtId="0" fontId="0" fillId="2" borderId="9" xfId="0" applyFont="1" applyFill="1" applyBorder="1"/>
    <xf numFmtId="9" fontId="0" fillId="2" borderId="0" xfId="0" applyNumberFormat="1" applyFont="1" applyFill="1"/>
    <xf numFmtId="3" fontId="0" fillId="2" borderId="0" xfId="0" applyNumberFormat="1" applyFont="1" applyFill="1"/>
    <xf numFmtId="0" fontId="0" fillId="2" borderId="13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166" fontId="0" fillId="2" borderId="9" xfId="0" applyNumberFormat="1" applyFont="1" applyFill="1" applyBorder="1"/>
    <xf numFmtId="184" fontId="0" fillId="2" borderId="9" xfId="0" applyNumberFormat="1" applyFont="1" applyFill="1" applyBorder="1"/>
    <xf numFmtId="10" fontId="0" fillId="2" borderId="9" xfId="0" applyNumberFormat="1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43" fontId="0" fillId="8" borderId="9" xfId="9" applyFont="1" applyFill="1" applyBorder="1"/>
    <xf numFmtId="0" fontId="2" fillId="15" borderId="11" xfId="0" applyNumberFormat="1" applyFont="1" applyFill="1" applyBorder="1"/>
    <xf numFmtId="0" fontId="2" fillId="15" borderId="12" xfId="0" applyNumberFormat="1" applyFont="1" applyFill="1" applyBorder="1"/>
    <xf numFmtId="0" fontId="14" fillId="15" borderId="36" xfId="0" applyNumberFormat="1" applyFont="1" applyFill="1" applyBorder="1"/>
    <xf numFmtId="0" fontId="14" fillId="15" borderId="13" xfId="0" applyNumberFormat="1" applyFont="1" applyFill="1" applyBorder="1"/>
    <xf numFmtId="0" fontId="14" fillId="15" borderId="15" xfId="0" applyNumberFormat="1" applyFont="1" applyFill="1" applyBorder="1"/>
    <xf numFmtId="0" fontId="4" fillId="32" borderId="38" xfId="0" applyFont="1" applyFill="1" applyBorder="1"/>
    <xf numFmtId="0" fontId="4" fillId="32" borderId="11" xfId="0" applyFont="1" applyFill="1" applyBorder="1"/>
    <xf numFmtId="0" fontId="3" fillId="16" borderId="28" xfId="0" applyNumberFormat="1" applyFont="1" applyFill="1" applyBorder="1"/>
    <xf numFmtId="0" fontId="3" fillId="16" borderId="29" xfId="0" applyNumberFormat="1" applyFont="1" applyFill="1" applyBorder="1"/>
    <xf numFmtId="0" fontId="4" fillId="32" borderId="12" xfId="0" applyFont="1" applyFill="1" applyBorder="1"/>
    <xf numFmtId="0" fontId="15" fillId="32" borderId="11" xfId="0" applyFont="1" applyFill="1" applyBorder="1"/>
    <xf numFmtId="0" fontId="15" fillId="32" borderId="12" xfId="0" applyFont="1" applyFill="1" applyBorder="1"/>
    <xf numFmtId="41" fontId="3" fillId="15" borderId="9" xfId="1" applyFont="1" applyFill="1" applyBorder="1"/>
    <xf numFmtId="0" fontId="15" fillId="15" borderId="11" xfId="0" applyFont="1" applyFill="1" applyBorder="1"/>
    <xf numFmtId="0" fontId="15" fillId="15" borderId="12" xfId="0" applyFont="1" applyFill="1" applyBorder="1"/>
    <xf numFmtId="0" fontId="0" fillId="15" borderId="0" xfId="0" applyFont="1" applyFill="1"/>
    <xf numFmtId="0" fontId="14" fillId="16" borderId="16" xfId="0" applyNumberFormat="1" applyFont="1" applyFill="1" applyBorder="1"/>
    <xf numFmtId="0" fontId="14" fillId="16" borderId="17" xfId="0" applyNumberFormat="1" applyFont="1" applyFill="1" applyBorder="1"/>
    <xf numFmtId="0" fontId="14" fillId="16" borderId="19" xfId="0" applyNumberFormat="1" applyFont="1" applyFill="1" applyBorder="1"/>
    <xf numFmtId="0" fontId="3" fillId="15" borderId="13" xfId="0" applyNumberFormat="1" applyFont="1" applyFill="1" applyBorder="1"/>
    <xf numFmtId="0" fontId="3" fillId="15" borderId="15" xfId="0" applyNumberFormat="1" applyFont="1" applyFill="1" applyBorder="1"/>
    <xf numFmtId="10" fontId="0" fillId="32" borderId="9" xfId="0" applyNumberFormat="1" applyFont="1" applyFill="1" applyBorder="1"/>
    <xf numFmtId="0" fontId="0" fillId="15" borderId="21" xfId="0" applyFont="1" applyFill="1" applyBorder="1"/>
    <xf numFmtId="0" fontId="3" fillId="15" borderId="28" xfId="0" applyNumberFormat="1" applyFont="1" applyFill="1" applyBorder="1"/>
    <xf numFmtId="0" fontId="3" fillId="15" borderId="29" xfId="0" applyNumberFormat="1" applyFont="1" applyFill="1" applyBorder="1"/>
    <xf numFmtId="0" fontId="3" fillId="15" borderId="0" xfId="0" applyFont="1" applyFill="1"/>
    <xf numFmtId="0" fontId="3" fillId="15" borderId="9" xfId="0" applyFont="1" applyFill="1" applyBorder="1"/>
    <xf numFmtId="0" fontId="3" fillId="32" borderId="9" xfId="0" applyFont="1" applyFill="1" applyBorder="1"/>
    <xf numFmtId="2" fontId="3" fillId="32" borderId="9" xfId="2" applyNumberFormat="1" applyFont="1" applyFill="1" applyBorder="1"/>
    <xf numFmtId="41" fontId="0" fillId="32" borderId="9" xfId="0" applyNumberFormat="1" applyFont="1" applyFill="1" applyBorder="1"/>
    <xf numFmtId="0" fontId="0" fillId="32" borderId="9" xfId="0" applyFont="1" applyFill="1" applyBorder="1"/>
    <xf numFmtId="166" fontId="0" fillId="2" borderId="9" xfId="6" applyNumberFormat="1" applyFont="1" applyFill="1" applyBorder="1"/>
    <xf numFmtId="41" fontId="15" fillId="2" borderId="9" xfId="7" applyFont="1" applyFill="1" applyBorder="1"/>
    <xf numFmtId="0" fontId="3" fillId="15" borderId="20" xfId="0" applyFont="1" applyFill="1" applyBorder="1"/>
    <xf numFmtId="0" fontId="0" fillId="2" borderId="4" xfId="0" applyFont="1" applyFill="1" applyBorder="1"/>
    <xf numFmtId="166" fontId="0" fillId="2" borderId="0" xfId="6" applyNumberFormat="1" applyFont="1" applyFill="1" applyBorder="1"/>
    <xf numFmtId="166" fontId="0" fillId="2" borderId="5" xfId="6" applyNumberFormat="1" applyFont="1" applyFill="1" applyBorder="1"/>
    <xf numFmtId="0" fontId="0" fillId="2" borderId="6" xfId="0" applyFont="1" applyFill="1" applyBorder="1"/>
    <xf numFmtId="179" fontId="15" fillId="2" borderId="7" xfId="8" applyFont="1" applyFill="1" applyBorder="1"/>
    <xf numFmtId="166" fontId="0" fillId="2" borderId="7" xfId="6" applyNumberFormat="1" applyFont="1" applyFill="1" applyBorder="1"/>
    <xf numFmtId="166" fontId="0" fillId="2" borderId="8" xfId="6" applyNumberFormat="1" applyFont="1" applyFill="1" applyBorder="1"/>
    <xf numFmtId="0" fontId="3" fillId="15" borderId="0" xfId="0" applyFont="1" applyFill="1" applyBorder="1"/>
    <xf numFmtId="41" fontId="14" fillId="32" borderId="9" xfId="7" applyFont="1" applyFill="1" applyBorder="1"/>
    <xf numFmtId="41" fontId="14" fillId="2" borderId="9" xfId="7" applyFont="1" applyFill="1" applyBorder="1"/>
    <xf numFmtId="41" fontId="3" fillId="32" borderId="9" xfId="0" applyNumberFormat="1" applyFont="1" applyFill="1" applyBorder="1"/>
    <xf numFmtId="10" fontId="15" fillId="32" borderId="9" xfId="7" applyNumberFormat="1" applyFont="1" applyFill="1" applyBorder="1"/>
    <xf numFmtId="10" fontId="14" fillId="2" borderId="9" xfId="7" applyNumberFormat="1" applyFont="1" applyFill="1" applyBorder="1"/>
    <xf numFmtId="0" fontId="3" fillId="15" borderId="10" xfId="0" applyFont="1" applyFill="1" applyBorder="1"/>
    <xf numFmtId="41" fontId="15" fillId="2" borderId="13" xfId="7" applyFont="1" applyFill="1" applyBorder="1"/>
    <xf numFmtId="41" fontId="15" fillId="2" borderId="0" xfId="7" applyFont="1" applyFill="1" applyBorder="1"/>
    <xf numFmtId="165" fontId="14" fillId="2" borderId="9" xfId="7" applyNumberFormat="1" applyFont="1" applyFill="1" applyBorder="1"/>
    <xf numFmtId="165" fontId="15" fillId="32" borderId="9" xfId="7" applyNumberFormat="1" applyFont="1" applyFill="1" applyBorder="1"/>
    <xf numFmtId="0" fontId="3" fillId="15" borderId="12" xfId="0" applyFont="1" applyFill="1" applyBorder="1"/>
    <xf numFmtId="165" fontId="14" fillId="2" borderId="12" xfId="7" applyNumberFormat="1" applyFont="1" applyFill="1" applyBorder="1"/>
    <xf numFmtId="165" fontId="15" fillId="2" borderId="9" xfId="7" applyNumberFormat="1" applyFont="1" applyFill="1" applyBorder="1"/>
    <xf numFmtId="41" fontId="0" fillId="2" borderId="9" xfId="0" applyNumberFormat="1" applyFont="1" applyFill="1" applyBorder="1"/>
    <xf numFmtId="3" fontId="0" fillId="2" borderId="9" xfId="0" applyNumberFormat="1" applyFont="1" applyFill="1" applyBorder="1"/>
    <xf numFmtId="9" fontId="0" fillId="32" borderId="9" xfId="2" applyFont="1" applyFill="1" applyBorder="1"/>
    <xf numFmtId="9" fontId="0" fillId="2" borderId="9" xfId="2" applyFont="1" applyFill="1" applyBorder="1"/>
    <xf numFmtId="9" fontId="0" fillId="2" borderId="9" xfId="0" applyNumberFormat="1" applyFont="1" applyFill="1" applyBorder="1"/>
    <xf numFmtId="9" fontId="14" fillId="2" borderId="9" xfId="2" applyFont="1" applyFill="1" applyBorder="1"/>
    <xf numFmtId="0" fontId="3" fillId="20" borderId="23" xfId="0" applyFont="1" applyFill="1" applyBorder="1"/>
    <xf numFmtId="0" fontId="0" fillId="2" borderId="23" xfId="0" applyFont="1" applyFill="1" applyBorder="1"/>
    <xf numFmtId="0" fontId="0" fillId="2" borderId="25" xfId="0" applyFont="1" applyFill="1" applyBorder="1"/>
    <xf numFmtId="10" fontId="0" fillId="2" borderId="25" xfId="2" applyNumberFormat="1" applyFont="1" applyFill="1" applyBorder="1"/>
    <xf numFmtId="0" fontId="0" fillId="2" borderId="24" xfId="0" applyFont="1" applyFill="1" applyBorder="1"/>
    <xf numFmtId="10" fontId="0" fillId="2" borderId="24" xfId="2" applyNumberFormat="1" applyFont="1" applyFill="1" applyBorder="1"/>
    <xf numFmtId="10" fontId="0" fillId="2" borderId="0" xfId="2" applyNumberFormat="1" applyFont="1" applyFill="1" applyBorder="1"/>
    <xf numFmtId="182" fontId="0" fillId="2" borderId="23" xfId="9" applyNumberFormat="1" applyFont="1" applyFill="1" applyBorder="1"/>
    <xf numFmtId="181" fontId="0" fillId="2" borderId="25" xfId="9" applyNumberFormat="1" applyFont="1" applyFill="1" applyBorder="1"/>
    <xf numFmtId="181" fontId="0" fillId="2" borderId="24" xfId="9" applyNumberFormat="1" applyFont="1" applyFill="1" applyBorder="1"/>
    <xf numFmtId="181" fontId="0" fillId="2" borderId="0" xfId="9" applyNumberFormat="1" applyFont="1" applyFill="1" applyBorder="1"/>
    <xf numFmtId="10" fontId="0" fillId="2" borderId="23" xfId="2" applyNumberFormat="1" applyFont="1" applyFill="1" applyBorder="1"/>
    <xf numFmtId="0" fontId="2" fillId="2" borderId="0" xfId="0" applyFont="1" applyFill="1" applyBorder="1"/>
    <xf numFmtId="0" fontId="0" fillId="2" borderId="1" xfId="0" applyFont="1" applyFill="1" applyBorder="1"/>
    <xf numFmtId="43" fontId="0" fillId="2" borderId="23" xfId="9" applyFont="1" applyFill="1" applyBorder="1" applyAlignment="1">
      <alignment horizontal="center"/>
    </xf>
    <xf numFmtId="43" fontId="0" fillId="2" borderId="25" xfId="9" applyFont="1" applyFill="1" applyBorder="1" applyAlignment="1">
      <alignment horizontal="center"/>
    </xf>
    <xf numFmtId="43" fontId="0" fillId="2" borderId="24" xfId="9" applyFont="1" applyFill="1" applyBorder="1" applyAlignment="1">
      <alignment horizontal="center"/>
    </xf>
    <xf numFmtId="3" fontId="0" fillId="32" borderId="9" xfId="0" applyNumberFormat="1" applyFont="1" applyFill="1" applyBorder="1"/>
    <xf numFmtId="166" fontId="0" fillId="32" borderId="9" xfId="0" applyNumberFormat="1" applyFont="1" applyFill="1" applyBorder="1"/>
    <xf numFmtId="166" fontId="15" fillId="2" borderId="9" xfId="6" applyNumberFormat="1" applyFont="1" applyFill="1" applyBorder="1"/>
    <xf numFmtId="0" fontId="0" fillId="2" borderId="9" xfId="0" applyFont="1" applyFill="1" applyBorder="1" applyAlignment="1">
      <alignment horizontal="left"/>
    </xf>
    <xf numFmtId="0" fontId="3" fillId="15" borderId="17" xfId="0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/>
    </xf>
    <xf numFmtId="0" fontId="3" fillId="15" borderId="48" xfId="0" applyFont="1" applyFill="1" applyBorder="1" applyAlignment="1">
      <alignment horizontal="center" vertical="center" wrapText="1"/>
    </xf>
    <xf numFmtId="10" fontId="15" fillId="2" borderId="12" xfId="2" applyNumberFormat="1" applyFont="1" applyFill="1" applyBorder="1"/>
    <xf numFmtId="10" fontId="3" fillId="11" borderId="12" xfId="0" applyNumberFormat="1" applyFont="1" applyFill="1" applyBorder="1" applyAlignment="1">
      <alignment vertical="center"/>
    </xf>
    <xf numFmtId="10" fontId="15" fillId="0" borderId="10" xfId="2" applyNumberFormat="1" applyFont="1" applyFill="1" applyBorder="1"/>
    <xf numFmtId="10" fontId="15" fillId="0" borderId="12" xfId="2" applyNumberFormat="1" applyFont="1" applyFill="1" applyBorder="1"/>
    <xf numFmtId="10" fontId="0" fillId="0" borderId="10" xfId="0" applyNumberFormat="1" applyFill="1" applyBorder="1"/>
    <xf numFmtId="10" fontId="0" fillId="0" borderId="12" xfId="0" applyNumberFormat="1" applyFill="1" applyBorder="1"/>
    <xf numFmtId="10" fontId="0" fillId="0" borderId="10" xfId="2" applyNumberFormat="1" applyFont="1" applyFill="1" applyBorder="1"/>
    <xf numFmtId="10" fontId="0" fillId="0" borderId="12" xfId="2" applyNumberFormat="1" applyFont="1" applyFill="1" applyBorder="1"/>
    <xf numFmtId="10" fontId="3" fillId="0" borderId="12" xfId="0" applyNumberFormat="1" applyFont="1" applyFill="1" applyBorder="1" applyAlignment="1">
      <alignment vertical="center"/>
    </xf>
    <xf numFmtId="0" fontId="51" fillId="16" borderId="54" xfId="0" applyFont="1" applyFill="1" applyBorder="1"/>
    <xf numFmtId="0" fontId="2" fillId="0" borderId="15" xfId="0" applyNumberFormat="1" applyFont="1" applyFill="1" applyBorder="1"/>
    <xf numFmtId="0" fontId="2" fillId="0" borderId="36" xfId="0" applyNumberFormat="1" applyFont="1" applyFill="1" applyBorder="1"/>
    <xf numFmtId="0" fontId="14" fillId="15" borderId="61" xfId="0" applyNumberFormat="1" applyFont="1" applyFill="1" applyBorder="1"/>
    <xf numFmtId="0" fontId="14" fillId="11" borderId="31" xfId="0" applyNumberFormat="1" applyFont="1" applyFill="1" applyBorder="1"/>
    <xf numFmtId="0" fontId="14" fillId="11" borderId="53" xfId="0" applyNumberFormat="1" applyFont="1" applyFill="1" applyBorder="1"/>
    <xf numFmtId="0" fontId="14" fillId="11" borderId="45" xfId="0" applyNumberFormat="1" applyFont="1" applyFill="1" applyBorder="1"/>
    <xf numFmtId="0" fontId="4" fillId="11" borderId="11" xfId="0" applyFont="1" applyFill="1" applyBorder="1"/>
    <xf numFmtId="0" fontId="14" fillId="11" borderId="27" xfId="0" applyNumberFormat="1" applyFont="1" applyFill="1" applyBorder="1"/>
    <xf numFmtId="0" fontId="14" fillId="11" borderId="28" xfId="0" applyNumberFormat="1" applyFont="1" applyFill="1" applyBorder="1"/>
    <xf numFmtId="0" fontId="14" fillId="11" borderId="29" xfId="0" applyNumberFormat="1" applyFont="1" applyFill="1" applyBorder="1"/>
    <xf numFmtId="0" fontId="15" fillId="11" borderId="11" xfId="0" applyFont="1" applyFill="1" applyBorder="1"/>
    <xf numFmtId="41" fontId="7" fillId="11" borderId="11" xfId="1" applyFont="1" applyFill="1" applyBorder="1"/>
    <xf numFmtId="0" fontId="14" fillId="11" borderId="16" xfId="0" applyNumberFormat="1" applyFont="1" applyFill="1" applyBorder="1"/>
    <xf numFmtId="0" fontId="14" fillId="11" borderId="17" xfId="0" applyNumberFormat="1" applyFont="1" applyFill="1" applyBorder="1"/>
    <xf numFmtId="0" fontId="14" fillId="11" borderId="48" xfId="0" applyNumberFormat="1" applyFont="1" applyFill="1" applyBorder="1"/>
    <xf numFmtId="41" fontId="7" fillId="15" borderId="9" xfId="1" applyFont="1" applyFill="1" applyBorder="1"/>
    <xf numFmtId="0" fontId="14" fillId="15" borderId="11" xfId="0" applyFont="1" applyFill="1" applyBorder="1"/>
    <xf numFmtId="0" fontId="14" fillId="15" borderId="12" xfId="0" applyFont="1" applyFill="1" applyBorder="1"/>
    <xf numFmtId="1" fontId="0" fillId="15" borderId="9" xfId="1" applyNumberFormat="1" applyFont="1" applyFill="1" applyBorder="1"/>
    <xf numFmtId="0" fontId="14" fillId="15" borderId="28" xfId="0" applyNumberFormat="1" applyFont="1" applyFill="1" applyBorder="1"/>
    <xf numFmtId="0" fontId="14" fillId="15" borderId="29" xfId="0" applyNumberFormat="1" applyFont="1" applyFill="1" applyBorder="1"/>
    <xf numFmtId="0" fontId="15" fillId="32" borderId="38" xfId="0" applyFont="1" applyFill="1" applyBorder="1"/>
    <xf numFmtId="0" fontId="55" fillId="15" borderId="20" xfId="0" applyFont="1" applyFill="1" applyBorder="1"/>
    <xf numFmtId="0" fontId="0" fillId="15" borderId="21" xfId="0" applyFill="1" applyBorder="1"/>
    <xf numFmtId="0" fontId="3" fillId="15" borderId="17" xfId="0" applyNumberFormat="1" applyFont="1" applyFill="1" applyBorder="1"/>
    <xf numFmtId="0" fontId="3" fillId="15" borderId="48" xfId="0" applyNumberFormat="1" applyFont="1" applyFill="1" applyBorder="1"/>
    <xf numFmtId="0" fontId="0" fillId="2" borderId="38" xfId="0" applyFill="1" applyBorder="1" applyAlignment="1">
      <alignment horizontal="left"/>
    </xf>
    <xf numFmtId="0" fontId="52" fillId="2" borderId="42" xfId="0" applyFont="1" applyFill="1" applyBorder="1"/>
    <xf numFmtId="0" fontId="0" fillId="2" borderId="38" xfId="0" applyFill="1" applyBorder="1"/>
    <xf numFmtId="0" fontId="0" fillId="2" borderId="67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3" fillId="15" borderId="16" xfId="0" applyNumberFormat="1" applyFont="1" applyFill="1" applyBorder="1"/>
    <xf numFmtId="166" fontId="52" fillId="2" borderId="32" xfId="6" applyNumberFormat="1" applyFont="1" applyFill="1" applyBorder="1"/>
    <xf numFmtId="166" fontId="52" fillId="2" borderId="46" xfId="6" applyNumberFormat="1" applyFont="1" applyFill="1" applyBorder="1"/>
    <xf numFmtId="166" fontId="52" fillId="2" borderId="34" xfId="6" applyNumberFormat="1" applyFont="1" applyFill="1" applyBorder="1"/>
    <xf numFmtId="166" fontId="52" fillId="2" borderId="33" xfId="6" applyNumberFormat="1" applyFont="1" applyFill="1" applyBorder="1"/>
    <xf numFmtId="166" fontId="52" fillId="2" borderId="47" xfId="6" applyNumberFormat="1" applyFont="1" applyFill="1" applyBorder="1"/>
    <xf numFmtId="166" fontId="15" fillId="2" borderId="9" xfId="9" applyNumberFormat="1" applyFont="1" applyFill="1" applyBorder="1"/>
    <xf numFmtId="185" fontId="15" fillId="2" borderId="9" xfId="9" applyNumberFormat="1" applyFont="1" applyFill="1" applyBorder="1"/>
    <xf numFmtId="10" fontId="15" fillId="32" borderId="9" xfId="2" applyNumberFormat="1" applyFont="1" applyFill="1" applyBorder="1"/>
    <xf numFmtId="166" fontId="0" fillId="32" borderId="9" xfId="9" applyNumberFormat="1" applyFont="1" applyFill="1" applyBorder="1"/>
    <xf numFmtId="0" fontId="14" fillId="27" borderId="6" xfId="0" applyFont="1" applyFill="1" applyBorder="1"/>
    <xf numFmtId="0" fontId="14" fillId="27" borderId="24" xfId="0" applyFont="1" applyFill="1" applyBorder="1"/>
    <xf numFmtId="0" fontId="14" fillId="27" borderId="23" xfId="0" applyFont="1" applyFill="1" applyBorder="1"/>
    <xf numFmtId="0" fontId="14" fillId="27" borderId="30" xfId="0" applyFont="1" applyFill="1" applyBorder="1"/>
    <xf numFmtId="0" fontId="14" fillId="27" borderId="1" xfId="0" applyFont="1" applyFill="1" applyBorder="1"/>
    <xf numFmtId="0" fontId="14" fillId="27" borderId="9" xfId="0" applyFont="1" applyFill="1" applyBorder="1"/>
    <xf numFmtId="0" fontId="14" fillId="27" borderId="9" xfId="0" applyFont="1" applyFill="1" applyBorder="1" applyAlignment="1">
      <alignment horizontal="center" vertical="center" wrapText="1"/>
    </xf>
    <xf numFmtId="0" fontId="2" fillId="9" borderId="66" xfId="0" applyNumberFormat="1" applyFont="1" applyFill="1" applyBorder="1"/>
    <xf numFmtId="166" fontId="0" fillId="2" borderId="12" xfId="0" applyNumberFormat="1" applyFill="1" applyBorder="1"/>
    <xf numFmtId="0" fontId="52" fillId="2" borderId="6" xfId="0" applyFont="1" applyFill="1" applyBorder="1" applyAlignment="1"/>
    <xf numFmtId="0" fontId="52" fillId="2" borderId="7" xfId="0" applyFont="1" applyFill="1" applyBorder="1" applyAlignment="1"/>
    <xf numFmtId="0" fontId="52" fillId="2" borderId="68" xfId="0" applyFont="1" applyFill="1" applyBorder="1" applyAlignment="1"/>
    <xf numFmtId="0" fontId="2" fillId="0" borderId="0" xfId="0" applyFont="1" applyFill="1" applyBorder="1"/>
    <xf numFmtId="41" fontId="4" fillId="0" borderId="0" xfId="7" applyFont="1" applyFill="1" applyBorder="1"/>
    <xf numFmtId="10" fontId="4" fillId="0" borderId="0" xfId="2" applyNumberFormat="1" applyFont="1" applyFill="1" applyBorder="1"/>
    <xf numFmtId="181" fontId="4" fillId="0" borderId="0" xfId="9" applyNumberFormat="1" applyFont="1" applyFill="1" applyBorder="1"/>
    <xf numFmtId="0" fontId="4" fillId="0" borderId="0" xfId="0" applyFont="1" applyFill="1" applyBorder="1" applyAlignment="1">
      <alignment horizontal="left"/>
    </xf>
    <xf numFmtId="41" fontId="2" fillId="0" borderId="0" xfId="7" applyFont="1" applyFill="1" applyBorder="1"/>
    <xf numFmtId="41" fontId="2" fillId="0" borderId="0" xfId="0" applyNumberFormat="1" applyFont="1" applyFill="1" applyBorder="1"/>
    <xf numFmtId="10" fontId="4" fillId="0" borderId="0" xfId="7" applyNumberFormat="1" applyFont="1" applyFill="1" applyBorder="1"/>
    <xf numFmtId="10" fontId="2" fillId="0" borderId="0" xfId="7" applyNumberFormat="1" applyFont="1" applyFill="1" applyBorder="1"/>
    <xf numFmtId="183" fontId="4" fillId="0" borderId="0" xfId="2" applyNumberFormat="1" applyFont="1" applyFill="1" applyBorder="1"/>
    <xf numFmtId="9" fontId="4" fillId="0" borderId="0" xfId="2" applyFont="1" applyFill="1" applyBorder="1"/>
    <xf numFmtId="165" fontId="2" fillId="0" borderId="0" xfId="7" applyNumberFormat="1" applyFont="1" applyFill="1" applyBorder="1"/>
    <xf numFmtId="166" fontId="4" fillId="0" borderId="0" xfId="0" applyNumberFormat="1" applyFont="1" applyFill="1" applyBorder="1"/>
    <xf numFmtId="165" fontId="4" fillId="0" borderId="0" xfId="7" applyNumberFormat="1" applyFont="1" applyFill="1" applyBorder="1"/>
    <xf numFmtId="167" fontId="4" fillId="0" borderId="0" xfId="2" applyNumberFormat="1" applyFont="1" applyFill="1" applyBorder="1"/>
    <xf numFmtId="2" fontId="2" fillId="0" borderId="0" xfId="2" applyNumberFormat="1" applyFont="1" applyFill="1" applyBorder="1"/>
    <xf numFmtId="41" fontId="4" fillId="0" borderId="0" xfId="0" applyNumberFormat="1" applyFont="1" applyFill="1" applyBorder="1"/>
    <xf numFmtId="3" fontId="4" fillId="0" borderId="0" xfId="0" applyNumberFormat="1" applyFont="1" applyFill="1" applyBorder="1"/>
    <xf numFmtId="10" fontId="4" fillId="0" borderId="0" xfId="0" applyNumberFormat="1" applyFont="1" applyFill="1" applyBorder="1"/>
    <xf numFmtId="9" fontId="4" fillId="0" borderId="0" xfId="0" applyNumberFormat="1" applyFont="1" applyFill="1" applyBorder="1"/>
    <xf numFmtId="9" fontId="2" fillId="0" borderId="0" xfId="2" applyFont="1" applyFill="1" applyBorder="1"/>
    <xf numFmtId="182" fontId="4" fillId="0" borderId="0" xfId="9" applyNumberFormat="1" applyFont="1" applyFill="1" applyBorder="1"/>
    <xf numFmtId="43" fontId="4" fillId="0" borderId="0" xfId="9" applyFont="1" applyFill="1" applyBorder="1" applyAlignment="1">
      <alignment horizontal="center"/>
    </xf>
    <xf numFmtId="184" fontId="4" fillId="0" borderId="0" xfId="0" applyNumberFormat="1" applyFont="1" applyFill="1" applyBorder="1"/>
    <xf numFmtId="184" fontId="2" fillId="0" borderId="0" xfId="0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0" fontId="4" fillId="0" borderId="0" xfId="2" applyNumberFormat="1" applyFont="1" applyFill="1" applyBorder="1" applyAlignment="1">
      <alignment horizontal="center"/>
    </xf>
    <xf numFmtId="0" fontId="66" fillId="0" borderId="0" xfId="0" applyFont="1"/>
    <xf numFmtId="0" fontId="67" fillId="0" borderId="0" xfId="0" applyFont="1"/>
    <xf numFmtId="0" fontId="68" fillId="25" borderId="0" xfId="0" applyFont="1" applyFill="1"/>
    <xf numFmtId="0" fontId="68" fillId="2" borderId="0" xfId="0" applyFont="1" applyFill="1"/>
    <xf numFmtId="0" fontId="68" fillId="9" borderId="0" xfId="0" applyFont="1" applyFill="1"/>
    <xf numFmtId="0" fontId="67" fillId="9" borderId="0" xfId="0" applyFont="1" applyFill="1"/>
    <xf numFmtId="0" fontId="67" fillId="25" borderId="0" xfId="0" applyFont="1" applyFill="1"/>
    <xf numFmtId="0" fontId="59" fillId="25" borderId="9" xfId="0" applyFont="1" applyFill="1" applyBorder="1" applyAlignment="1">
      <alignment horizontal="center"/>
    </xf>
    <xf numFmtId="166" fontId="67" fillId="2" borderId="9" xfId="6" applyNumberFormat="1" applyFont="1" applyFill="1" applyBorder="1"/>
    <xf numFmtId="0" fontId="0" fillId="25" borderId="0" xfId="0" applyFill="1"/>
    <xf numFmtId="0" fontId="71" fillId="33" borderId="9" xfId="0" applyFont="1" applyFill="1" applyBorder="1"/>
    <xf numFmtId="43" fontId="52" fillId="2" borderId="9" xfId="6" applyFont="1" applyFill="1" applyBorder="1"/>
    <xf numFmtId="2" fontId="50" fillId="2" borderId="9" xfId="0" applyNumberFormat="1" applyFont="1" applyFill="1" applyBorder="1"/>
    <xf numFmtId="0" fontId="25" fillId="2" borderId="9" xfId="0" applyFont="1" applyFill="1" applyBorder="1" applyAlignment="1">
      <alignment horizontal="right"/>
    </xf>
    <xf numFmtId="2" fontId="72" fillId="9" borderId="9" xfId="0" applyNumberFormat="1" applyFont="1" applyFill="1" applyBorder="1"/>
    <xf numFmtId="0" fontId="45" fillId="9" borderId="9" xfId="0" applyFont="1" applyFill="1" applyBorder="1"/>
    <xf numFmtId="2" fontId="0" fillId="0" borderId="0" xfId="0" applyNumberFormat="1"/>
    <xf numFmtId="0" fontId="59" fillId="6" borderId="13" xfId="0" applyFont="1" applyFill="1" applyBorder="1" applyAlignment="1">
      <alignment horizontal="center" vertical="center" wrapText="1"/>
    </xf>
    <xf numFmtId="0" fontId="0" fillId="0" borderId="0" xfId="0" applyFill="1" applyBorder="1"/>
    <xf numFmtId="176" fontId="7" fillId="0" borderId="0" xfId="0" applyNumberFormat="1" applyFont="1" applyFill="1" applyBorder="1"/>
    <xf numFmtId="0" fontId="3" fillId="0" borderId="0" xfId="0" applyFont="1" applyFill="1" applyBorder="1"/>
    <xf numFmtId="186" fontId="14" fillId="2" borderId="9" xfId="7" applyNumberFormat="1" applyFont="1" applyFill="1" applyBorder="1"/>
    <xf numFmtId="0" fontId="14" fillId="27" borderId="25" xfId="0" applyFont="1" applyFill="1" applyBorder="1"/>
    <xf numFmtId="166" fontId="52" fillId="2" borderId="10" xfId="6" applyNumberFormat="1" applyFont="1" applyFill="1" applyBorder="1"/>
    <xf numFmtId="41" fontId="54" fillId="2" borderId="10" xfId="7" applyFont="1" applyFill="1" applyBorder="1"/>
    <xf numFmtId="3" fontId="7" fillId="2" borderId="10" xfId="0" applyNumberFormat="1" applyFont="1" applyFill="1" applyBorder="1"/>
    <xf numFmtId="0" fontId="4" fillId="9" borderId="9" xfId="0" applyFont="1" applyFill="1" applyBorder="1"/>
    <xf numFmtId="169" fontId="39" fillId="9" borderId="9" xfId="0" applyNumberFormat="1" applyFont="1" applyFill="1" applyBorder="1" applyAlignment="1">
      <alignment horizontal="left" vertical="center" wrapText="1"/>
    </xf>
    <xf numFmtId="167" fontId="0" fillId="34" borderId="0" xfId="2" applyNumberFormat="1" applyFont="1" applyFill="1"/>
    <xf numFmtId="0" fontId="14" fillId="16" borderId="23" xfId="0" applyFont="1" applyFill="1" applyBorder="1" applyAlignment="1">
      <alignment horizontal="center" vertical="center"/>
    </xf>
    <xf numFmtId="0" fontId="14" fillId="16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4" fillId="16" borderId="10" xfId="0" applyFont="1" applyFill="1" applyBorder="1" applyAlignment="1">
      <alignment horizontal="center"/>
    </xf>
    <xf numFmtId="0" fontId="14" fillId="16" borderId="11" xfId="0" applyFont="1" applyFill="1" applyBorder="1" applyAlignment="1">
      <alignment horizontal="center"/>
    </xf>
    <xf numFmtId="0" fontId="14" fillId="16" borderId="12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14" fillId="32" borderId="10" xfId="0" applyFont="1" applyFill="1" applyBorder="1" applyAlignment="1">
      <alignment horizontal="left"/>
    </xf>
    <xf numFmtId="0" fontId="14" fillId="32" borderId="11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left"/>
    </xf>
    <xf numFmtId="0" fontId="65" fillId="8" borderId="1" xfId="0" applyFont="1" applyFill="1" applyBorder="1" applyAlignment="1">
      <alignment horizontal="center" vertical="center"/>
    </xf>
    <xf numFmtId="0" fontId="65" fillId="8" borderId="2" xfId="0" applyFont="1" applyFill="1" applyBorder="1" applyAlignment="1">
      <alignment horizontal="center" vertical="center"/>
    </xf>
    <xf numFmtId="0" fontId="65" fillId="8" borderId="3" xfId="0" applyFont="1" applyFill="1" applyBorder="1" applyAlignment="1">
      <alignment horizontal="center" vertical="center"/>
    </xf>
    <xf numFmtId="0" fontId="65" fillId="8" borderId="4" xfId="0" applyFont="1" applyFill="1" applyBorder="1" applyAlignment="1">
      <alignment horizontal="center" vertical="center"/>
    </xf>
    <xf numFmtId="0" fontId="65" fillId="8" borderId="0" xfId="0" applyFont="1" applyFill="1" applyBorder="1" applyAlignment="1">
      <alignment horizontal="center" vertical="center"/>
    </xf>
    <xf numFmtId="0" fontId="65" fillId="8" borderId="5" xfId="0" applyFont="1" applyFill="1" applyBorder="1" applyAlignment="1">
      <alignment horizontal="center" vertical="center"/>
    </xf>
    <xf numFmtId="0" fontId="65" fillId="8" borderId="6" xfId="0" applyFont="1" applyFill="1" applyBorder="1" applyAlignment="1">
      <alignment horizontal="center" vertical="center"/>
    </xf>
    <xf numFmtId="0" fontId="65" fillId="8" borderId="7" xfId="0" applyFont="1" applyFill="1" applyBorder="1" applyAlignment="1">
      <alignment horizontal="center" vertical="center"/>
    </xf>
    <xf numFmtId="0" fontId="65" fillId="8" borderId="8" xfId="0" applyFont="1" applyFill="1" applyBorder="1" applyAlignment="1">
      <alignment horizontal="center" vertical="center"/>
    </xf>
    <xf numFmtId="0" fontId="57" fillId="8" borderId="1" xfId="0" applyFont="1" applyFill="1" applyBorder="1" applyAlignment="1">
      <alignment horizontal="center"/>
    </xf>
    <xf numFmtId="0" fontId="57" fillId="8" borderId="2" xfId="0" applyFont="1" applyFill="1" applyBorder="1" applyAlignment="1">
      <alignment horizontal="center"/>
    </xf>
    <xf numFmtId="0" fontId="57" fillId="8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left"/>
    </xf>
    <xf numFmtId="0" fontId="3" fillId="15" borderId="10" xfId="0" applyFont="1" applyFill="1" applyBorder="1" applyAlignment="1">
      <alignment horizontal="left"/>
    </xf>
    <xf numFmtId="0" fontId="3" fillId="32" borderId="15" xfId="0" applyFont="1" applyFill="1" applyBorder="1" applyAlignment="1">
      <alignment horizontal="left"/>
    </xf>
    <xf numFmtId="0" fontId="3" fillId="32" borderId="38" xfId="0" applyFont="1" applyFill="1" applyBorder="1" applyAlignment="1">
      <alignment horizontal="left"/>
    </xf>
    <xf numFmtId="0" fontId="3" fillId="8" borderId="10" xfId="0" applyFont="1" applyFill="1" applyBorder="1" applyAlignment="1">
      <alignment horizontal="left"/>
    </xf>
    <xf numFmtId="0" fontId="3" fillId="8" borderId="11" xfId="0" applyFont="1" applyFill="1" applyBorder="1" applyAlignment="1">
      <alignment horizontal="left"/>
    </xf>
    <xf numFmtId="0" fontId="3" fillId="8" borderId="12" xfId="0" applyFont="1" applyFill="1" applyBorder="1" applyAlignment="1">
      <alignment horizontal="left"/>
    </xf>
    <xf numFmtId="0" fontId="3" fillId="26" borderId="10" xfId="0" applyFont="1" applyFill="1" applyBorder="1" applyAlignment="1">
      <alignment horizontal="center"/>
    </xf>
    <xf numFmtId="0" fontId="3" fillId="26" borderId="11" xfId="0" applyFont="1" applyFill="1" applyBorder="1" applyAlignment="1">
      <alignment horizontal="center"/>
    </xf>
    <xf numFmtId="0" fontId="3" fillId="26" borderId="1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15" borderId="13" xfId="0" applyFont="1" applyFill="1" applyBorder="1" applyAlignment="1">
      <alignment horizontal="left"/>
    </xf>
    <xf numFmtId="0" fontId="4" fillId="31" borderId="9" xfId="0" applyFont="1" applyFill="1" applyBorder="1" applyAlignment="1">
      <alignment horizontal="center"/>
    </xf>
    <xf numFmtId="0" fontId="14" fillId="15" borderId="10" xfId="0" applyFont="1" applyFill="1" applyBorder="1" applyAlignment="1">
      <alignment horizontal="left"/>
    </xf>
    <xf numFmtId="0" fontId="14" fillId="15" borderId="11" xfId="0" applyFont="1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14" fillId="27" borderId="20" xfId="0" applyFont="1" applyFill="1" applyBorder="1" applyAlignment="1">
      <alignment horizontal="center"/>
    </xf>
    <xf numFmtId="0" fontId="14" fillId="27" borderId="21" xfId="0" applyFont="1" applyFill="1" applyBorder="1" applyAlignment="1">
      <alignment horizontal="center"/>
    </xf>
    <xf numFmtId="0" fontId="14" fillId="27" borderId="22" xfId="0" applyFont="1" applyFill="1" applyBorder="1" applyAlignment="1">
      <alignment horizontal="center"/>
    </xf>
    <xf numFmtId="0" fontId="3" fillId="15" borderId="0" xfId="0" applyFont="1" applyFill="1" applyBorder="1" applyAlignment="1">
      <alignment horizontal="center"/>
    </xf>
    <xf numFmtId="0" fontId="14" fillId="27" borderId="27" xfId="0" applyFont="1" applyFill="1" applyBorder="1" applyAlignment="1">
      <alignment horizontal="center"/>
    </xf>
    <xf numFmtId="0" fontId="14" fillId="27" borderId="28" xfId="0" applyFont="1" applyFill="1" applyBorder="1" applyAlignment="1">
      <alignment horizontal="center"/>
    </xf>
    <xf numFmtId="0" fontId="14" fillId="27" borderId="29" xfId="0" applyFont="1" applyFill="1" applyBorder="1" applyAlignment="1">
      <alignment horizontal="center"/>
    </xf>
    <xf numFmtId="0" fontId="12" fillId="2" borderId="27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0" fontId="5" fillId="15" borderId="7" xfId="0" applyFont="1" applyFill="1" applyBorder="1" applyAlignment="1">
      <alignment horizontal="center" vertical="center"/>
    </xf>
    <xf numFmtId="0" fontId="5" fillId="15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0" fillId="15" borderId="20" xfId="0" applyFont="1" applyFill="1" applyBorder="1" applyAlignment="1">
      <alignment horizontal="center"/>
    </xf>
    <xf numFmtId="0" fontId="10" fillId="15" borderId="21" xfId="0" applyFont="1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15" fillId="11" borderId="2" xfId="0" applyFont="1" applyFill="1" applyBorder="1" applyAlignment="1">
      <alignment horizontal="center"/>
    </xf>
    <xf numFmtId="0" fontId="15" fillId="11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14" fillId="32" borderId="15" xfId="0" applyFont="1" applyFill="1" applyBorder="1" applyAlignment="1">
      <alignment horizontal="left"/>
    </xf>
    <xf numFmtId="0" fontId="14" fillId="32" borderId="38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56" fillId="8" borderId="1" xfId="0" applyFont="1" applyFill="1" applyBorder="1" applyAlignment="1">
      <alignment horizontal="center" vertical="center"/>
    </xf>
    <xf numFmtId="0" fontId="56" fillId="8" borderId="2" xfId="0" applyFont="1" applyFill="1" applyBorder="1" applyAlignment="1">
      <alignment horizontal="center" vertical="center"/>
    </xf>
    <xf numFmtId="0" fontId="56" fillId="8" borderId="3" xfId="0" applyFont="1" applyFill="1" applyBorder="1" applyAlignment="1">
      <alignment horizontal="center" vertical="center"/>
    </xf>
    <xf numFmtId="0" fontId="56" fillId="8" borderId="4" xfId="0" applyFont="1" applyFill="1" applyBorder="1" applyAlignment="1">
      <alignment horizontal="center" vertical="center"/>
    </xf>
    <xf numFmtId="0" fontId="56" fillId="8" borderId="0" xfId="0" applyFont="1" applyFill="1" applyBorder="1" applyAlignment="1">
      <alignment horizontal="center" vertical="center"/>
    </xf>
    <xf numFmtId="0" fontId="56" fillId="8" borderId="5" xfId="0" applyFont="1" applyFill="1" applyBorder="1" applyAlignment="1">
      <alignment horizontal="center" vertical="center"/>
    </xf>
    <xf numFmtId="0" fontId="58" fillId="2" borderId="0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0" fontId="14" fillId="15" borderId="62" xfId="0" applyFont="1" applyFill="1" applyBorder="1" applyAlignment="1">
      <alignment horizontal="left"/>
    </xf>
    <xf numFmtId="0" fontId="14" fillId="15" borderId="65" xfId="0" applyFont="1" applyFill="1" applyBorder="1" applyAlignment="1">
      <alignment horizontal="left"/>
    </xf>
    <xf numFmtId="0" fontId="14" fillId="15" borderId="64" xfId="0" applyFont="1" applyFill="1" applyBorder="1" applyAlignment="1">
      <alignment horizontal="left"/>
    </xf>
    <xf numFmtId="0" fontId="3" fillId="11" borderId="55" xfId="0" applyFont="1" applyFill="1" applyBorder="1" applyAlignment="1">
      <alignment horizontal="center"/>
    </xf>
    <xf numFmtId="0" fontId="3" fillId="11" borderId="33" xfId="0" applyFont="1" applyFill="1" applyBorder="1" applyAlignment="1">
      <alignment horizontal="center"/>
    </xf>
    <xf numFmtId="0" fontId="3" fillId="11" borderId="47" xfId="0" applyFont="1" applyFill="1" applyBorder="1" applyAlignment="1">
      <alignment horizontal="center"/>
    </xf>
    <xf numFmtId="0" fontId="36" fillId="15" borderId="20" xfId="0" applyFont="1" applyFill="1" applyBorder="1" applyAlignment="1">
      <alignment horizontal="center"/>
    </xf>
    <xf numFmtId="0" fontId="36" fillId="15" borderId="21" xfId="0" applyFont="1" applyFill="1" applyBorder="1" applyAlignment="1">
      <alignment horizontal="center"/>
    </xf>
    <xf numFmtId="0" fontId="36" fillId="15" borderId="22" xfId="0" applyFont="1" applyFill="1" applyBorder="1" applyAlignment="1">
      <alignment horizontal="center"/>
    </xf>
    <xf numFmtId="0" fontId="3" fillId="15" borderId="11" xfId="0" applyFont="1" applyFill="1" applyBorder="1" applyAlignment="1">
      <alignment horizontal="left"/>
    </xf>
    <xf numFmtId="0" fontId="3" fillId="15" borderId="12" xfId="0" applyFont="1" applyFill="1" applyBorder="1" applyAlignment="1">
      <alignment horizontal="left"/>
    </xf>
    <xf numFmtId="0" fontId="3" fillId="32" borderId="10" xfId="0" applyFont="1" applyFill="1" applyBorder="1" applyAlignment="1">
      <alignment horizontal="left"/>
    </xf>
    <xf numFmtId="0" fontId="3" fillId="32" borderId="11" xfId="0" applyFont="1" applyFill="1" applyBorder="1" applyAlignment="1">
      <alignment horizontal="left"/>
    </xf>
    <xf numFmtId="10" fontId="3" fillId="12" borderId="34" xfId="2" applyNumberFormat="1" applyFont="1" applyFill="1" applyBorder="1" applyAlignment="1">
      <alignment horizontal="center"/>
    </xf>
    <xf numFmtId="10" fontId="3" fillId="12" borderId="33" xfId="2" applyNumberFormat="1" applyFont="1" applyFill="1" applyBorder="1" applyAlignment="1">
      <alignment horizontal="center"/>
    </xf>
    <xf numFmtId="10" fontId="3" fillId="12" borderId="47" xfId="2" applyNumberFormat="1" applyFont="1" applyFill="1" applyBorder="1" applyAlignment="1">
      <alignment horizontal="center"/>
    </xf>
    <xf numFmtId="0" fontId="51" fillId="2" borderId="54" xfId="0" applyFont="1" applyFill="1" applyBorder="1" applyAlignment="1">
      <alignment horizontal="left"/>
    </xf>
    <xf numFmtId="0" fontId="51" fillId="2" borderId="55" xfId="0" applyFont="1" applyFill="1" applyBorder="1" applyAlignment="1">
      <alignment horizontal="left"/>
    </xf>
    <xf numFmtId="0" fontId="51" fillId="2" borderId="56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0" fillId="15" borderId="21" xfId="0" applyFill="1" applyBorder="1" applyAlignment="1">
      <alignment horizontal="center"/>
    </xf>
    <xf numFmtId="0" fontId="0" fillId="15" borderId="22" xfId="0" applyFill="1" applyBorder="1" applyAlignment="1">
      <alignment horizontal="center"/>
    </xf>
    <xf numFmtId="0" fontId="32" fillId="5" borderId="39" xfId="0" quotePrefix="1" applyFont="1" applyFill="1" applyBorder="1" applyAlignment="1">
      <alignment horizontal="right" vertical="center"/>
    </xf>
    <xf numFmtId="0" fontId="32" fillId="5" borderId="11" xfId="0" quotePrefix="1" applyFont="1" applyFill="1" applyBorder="1" applyAlignment="1">
      <alignment horizontal="right" vertical="center"/>
    </xf>
    <xf numFmtId="0" fontId="32" fillId="5" borderId="12" xfId="0" quotePrefix="1" applyFont="1" applyFill="1" applyBorder="1" applyAlignment="1">
      <alignment horizontal="right" vertical="center"/>
    </xf>
    <xf numFmtId="0" fontId="48" fillId="23" borderId="23" xfId="0" applyFont="1" applyFill="1" applyBorder="1" applyAlignment="1">
      <alignment horizontal="center" vertical="center" textRotation="180"/>
    </xf>
    <xf numFmtId="0" fontId="48" fillId="23" borderId="25" xfId="0" applyFont="1" applyFill="1" applyBorder="1" applyAlignment="1">
      <alignment horizontal="center" vertical="center" textRotation="180"/>
    </xf>
    <xf numFmtId="0" fontId="48" fillId="23" borderId="24" xfId="0" applyFont="1" applyFill="1" applyBorder="1" applyAlignment="1">
      <alignment horizontal="center" vertical="center" textRotation="180"/>
    </xf>
    <xf numFmtId="0" fontId="46" fillId="16" borderId="31" xfId="0" applyFont="1" applyFill="1" applyBorder="1" applyAlignment="1">
      <alignment horizontal="center" vertical="center" wrapText="1"/>
    </xf>
    <xf numFmtId="0" fontId="46" fillId="16" borderId="45" xfId="0" applyFont="1" applyFill="1" applyBorder="1" applyAlignment="1">
      <alignment horizontal="center" vertical="center" wrapText="1"/>
    </xf>
    <xf numFmtId="0" fontId="46" fillId="16" borderId="32" xfId="0" applyFont="1" applyFill="1" applyBorder="1" applyAlignment="1">
      <alignment horizontal="center" vertical="center" wrapText="1"/>
    </xf>
    <xf numFmtId="0" fontId="46" fillId="16" borderId="46" xfId="0" applyFont="1" applyFill="1" applyBorder="1" applyAlignment="1">
      <alignment horizontal="center" vertical="center" wrapText="1"/>
    </xf>
    <xf numFmtId="0" fontId="46" fillId="16" borderId="34" xfId="0" applyFont="1" applyFill="1" applyBorder="1" applyAlignment="1">
      <alignment horizontal="center" vertical="center" wrapText="1"/>
    </xf>
    <xf numFmtId="0" fontId="46" fillId="16" borderId="4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32" fillId="18" borderId="9" xfId="5" quotePrefix="1" applyFont="1" applyFill="1" applyBorder="1" applyAlignment="1">
      <alignment horizontal="left" vertical="center"/>
    </xf>
    <xf numFmtId="0" fontId="32" fillId="18" borderId="9" xfId="5" applyFont="1" applyFill="1" applyBorder="1" applyAlignment="1">
      <alignment horizontal="left" vertical="center"/>
    </xf>
    <xf numFmtId="0" fontId="46" fillId="22" borderId="1" xfId="0" applyFont="1" applyFill="1" applyBorder="1" applyAlignment="1">
      <alignment horizontal="center" vertical="center" wrapText="1"/>
    </xf>
    <xf numFmtId="0" fontId="46" fillId="22" borderId="3" xfId="0" applyFont="1" applyFill="1" applyBorder="1" applyAlignment="1">
      <alignment horizontal="center" vertical="center" wrapText="1"/>
    </xf>
    <xf numFmtId="0" fontId="46" fillId="22" borderId="4" xfId="0" applyFont="1" applyFill="1" applyBorder="1" applyAlignment="1">
      <alignment horizontal="center" vertical="center" wrapText="1"/>
    </xf>
    <xf numFmtId="0" fontId="46" fillId="22" borderId="5" xfId="0" applyFont="1" applyFill="1" applyBorder="1" applyAlignment="1">
      <alignment horizontal="center" vertical="center" wrapText="1"/>
    </xf>
    <xf numFmtId="0" fontId="46" fillId="22" borderId="6" xfId="0" applyFont="1" applyFill="1" applyBorder="1" applyAlignment="1">
      <alignment horizontal="center" vertical="center" wrapText="1"/>
    </xf>
    <xf numFmtId="0" fontId="46" fillId="22" borderId="8" xfId="0" applyFont="1" applyFill="1" applyBorder="1" applyAlignment="1">
      <alignment horizontal="center" vertical="center" wrapText="1"/>
    </xf>
    <xf numFmtId="0" fontId="3" fillId="15" borderId="58" xfId="0" applyFont="1" applyFill="1" applyBorder="1" applyAlignment="1">
      <alignment horizontal="left"/>
    </xf>
    <xf numFmtId="0" fontId="3" fillId="9" borderId="10" xfId="0" applyFont="1" applyFill="1" applyBorder="1" applyAlignment="1">
      <alignment horizontal="left"/>
    </xf>
    <xf numFmtId="0" fontId="3" fillId="9" borderId="11" xfId="0" applyFont="1" applyFill="1" applyBorder="1" applyAlignment="1">
      <alignment horizontal="left"/>
    </xf>
    <xf numFmtId="0" fontId="3" fillId="9" borderId="12" xfId="0" applyFont="1" applyFill="1" applyBorder="1" applyAlignment="1">
      <alignment horizontal="left"/>
    </xf>
    <xf numFmtId="0" fontId="30" fillId="16" borderId="9" xfId="0" quotePrefix="1" applyFont="1" applyFill="1" applyBorder="1" applyAlignment="1">
      <alignment horizontal="left" vertical="center"/>
    </xf>
    <xf numFmtId="0" fontId="31" fillId="16" borderId="13" xfId="0" quotePrefix="1" applyFont="1" applyFill="1" applyBorder="1" applyAlignment="1">
      <alignment horizontal="left" vertical="center"/>
    </xf>
    <xf numFmtId="0" fontId="31" fillId="16" borderId="10" xfId="0" quotePrefix="1" applyFont="1" applyFill="1" applyBorder="1" applyAlignment="1">
      <alignment horizontal="left" vertical="center"/>
    </xf>
    <xf numFmtId="0" fontId="31" fillId="16" borderId="11" xfId="0" quotePrefix="1" applyFont="1" applyFill="1" applyBorder="1" applyAlignment="1">
      <alignment horizontal="left" vertical="center"/>
    </xf>
    <xf numFmtId="0" fontId="31" fillId="16" borderId="12" xfId="0" quotePrefix="1" applyFont="1" applyFill="1" applyBorder="1" applyAlignment="1">
      <alignment horizontal="left" vertical="center"/>
    </xf>
    <xf numFmtId="0" fontId="38" fillId="9" borderId="20" xfId="0" quotePrefix="1" applyFont="1" applyFill="1" applyBorder="1" applyAlignment="1">
      <alignment horizontal="center" vertical="center"/>
    </xf>
    <xf numFmtId="0" fontId="38" fillId="9" borderId="21" xfId="0" quotePrefix="1" applyFont="1" applyFill="1" applyBorder="1" applyAlignment="1">
      <alignment horizontal="center" vertical="center"/>
    </xf>
    <xf numFmtId="0" fontId="38" fillId="9" borderId="22" xfId="0" quotePrefix="1" applyFont="1" applyFill="1" applyBorder="1" applyAlignment="1">
      <alignment horizontal="center" vertical="center"/>
    </xf>
    <xf numFmtId="0" fontId="44" fillId="9" borderId="9" xfId="0" applyFont="1" applyFill="1" applyBorder="1" applyAlignment="1">
      <alignment horizontal="left"/>
    </xf>
    <xf numFmtId="0" fontId="37" fillId="9" borderId="9" xfId="0" applyFont="1" applyFill="1" applyBorder="1" applyAlignment="1">
      <alignment horizontal="center"/>
    </xf>
    <xf numFmtId="0" fontId="36" fillId="9" borderId="1" xfId="0" applyFont="1" applyFill="1" applyBorder="1" applyAlignment="1">
      <alignment horizontal="center"/>
    </xf>
    <xf numFmtId="0" fontId="36" fillId="9" borderId="2" xfId="0" applyFont="1" applyFill="1" applyBorder="1" applyAlignment="1">
      <alignment horizontal="center"/>
    </xf>
    <xf numFmtId="0" fontId="36" fillId="9" borderId="3" xfId="0" applyFont="1" applyFill="1" applyBorder="1" applyAlignment="1">
      <alignment horizontal="center"/>
    </xf>
    <xf numFmtId="0" fontId="15" fillId="2" borderId="9" xfId="0" quotePrefix="1" applyFont="1" applyFill="1" applyBorder="1" applyAlignment="1">
      <alignment horizontal="left"/>
    </xf>
    <xf numFmtId="0" fontId="15" fillId="13" borderId="9" xfId="0" quotePrefix="1" applyFont="1" applyFill="1" applyBorder="1" applyAlignment="1">
      <alignment horizontal="left" vertical="center"/>
    </xf>
    <xf numFmtId="0" fontId="15" fillId="13" borderId="9" xfId="0" applyFont="1" applyFill="1" applyBorder="1" applyAlignment="1">
      <alignment horizontal="left"/>
    </xf>
    <xf numFmtId="0" fontId="15" fillId="13" borderId="9" xfId="0" quotePrefix="1" applyFont="1" applyFill="1" applyBorder="1" applyAlignment="1">
      <alignment horizontal="left"/>
    </xf>
    <xf numFmtId="0" fontId="3" fillId="17" borderId="9" xfId="0" applyFont="1" applyFill="1" applyBorder="1" applyAlignment="1">
      <alignment horizontal="center" vertical="center"/>
    </xf>
    <xf numFmtId="0" fontId="3" fillId="19" borderId="9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14" fillId="19" borderId="10" xfId="0" quotePrefix="1" applyFont="1" applyFill="1" applyBorder="1" applyAlignment="1">
      <alignment horizontal="center"/>
    </xf>
    <xf numFmtId="0" fontId="14" fillId="19" borderId="11" xfId="0" quotePrefix="1" applyFont="1" applyFill="1" applyBorder="1" applyAlignment="1">
      <alignment horizontal="center"/>
    </xf>
    <xf numFmtId="0" fontId="14" fillId="19" borderId="12" xfId="0" quotePrefix="1" applyFont="1" applyFill="1" applyBorder="1" applyAlignment="1">
      <alignment horizontal="center"/>
    </xf>
    <xf numFmtId="0" fontId="15" fillId="19" borderId="9" xfId="0" applyFont="1" applyFill="1" applyBorder="1" applyAlignment="1">
      <alignment horizontal="left"/>
    </xf>
    <xf numFmtId="0" fontId="15" fillId="17" borderId="9" xfId="0" quotePrefix="1" applyFont="1" applyFill="1" applyBorder="1" applyAlignment="1">
      <alignment horizontal="left"/>
    </xf>
    <xf numFmtId="0" fontId="36" fillId="9" borderId="15" xfId="0" applyFont="1" applyFill="1" applyBorder="1" applyAlignment="1">
      <alignment horizontal="left" vertical="center"/>
    </xf>
    <xf numFmtId="0" fontId="36" fillId="9" borderId="38" xfId="0" applyFont="1" applyFill="1" applyBorder="1" applyAlignment="1">
      <alignment horizontal="left" vertical="center"/>
    </xf>
    <xf numFmtId="0" fontId="36" fillId="9" borderId="36" xfId="0" applyFont="1" applyFill="1" applyBorder="1" applyAlignment="1">
      <alignment horizontal="left" vertical="center"/>
    </xf>
    <xf numFmtId="0" fontId="15" fillId="17" borderId="9" xfId="0" applyFont="1" applyFill="1" applyBorder="1" applyAlignment="1">
      <alignment horizontal="left"/>
    </xf>
    <xf numFmtId="0" fontId="16" fillId="2" borderId="4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34" fillId="18" borderId="15" xfId="0" quotePrefix="1" applyFont="1" applyFill="1" applyBorder="1" applyAlignment="1">
      <alignment horizontal="left" vertical="center"/>
    </xf>
    <xf numFmtId="0" fontId="34" fillId="18" borderId="38" xfId="0" quotePrefix="1" applyFont="1" applyFill="1" applyBorder="1" applyAlignment="1">
      <alignment horizontal="left" vertical="center"/>
    </xf>
    <xf numFmtId="0" fontId="34" fillId="18" borderId="36" xfId="0" quotePrefix="1" applyFont="1" applyFill="1" applyBorder="1" applyAlignment="1">
      <alignment horizontal="left" vertical="center"/>
    </xf>
    <xf numFmtId="0" fontId="32" fillId="18" borderId="39" xfId="0" quotePrefix="1" applyFont="1" applyFill="1" applyBorder="1" applyAlignment="1">
      <alignment horizontal="left" vertical="center"/>
    </xf>
    <xf numFmtId="0" fontId="32" fillId="18" borderId="11" xfId="0" quotePrefix="1" applyFont="1" applyFill="1" applyBorder="1" applyAlignment="1">
      <alignment horizontal="left" vertical="center"/>
    </xf>
    <xf numFmtId="0" fontId="32" fillId="18" borderId="12" xfId="0" quotePrefix="1" applyFont="1" applyFill="1" applyBorder="1" applyAlignment="1">
      <alignment horizontal="left" vertical="center"/>
    </xf>
    <xf numFmtId="0" fontId="0" fillId="19" borderId="9" xfId="0" applyFill="1" applyBorder="1" applyAlignment="1">
      <alignment horizontal="left"/>
    </xf>
    <xf numFmtId="0" fontId="15" fillId="19" borderId="9" xfId="0" quotePrefix="1" applyFont="1" applyFill="1" applyBorder="1" applyAlignment="1">
      <alignment horizontal="left"/>
    </xf>
    <xf numFmtId="0" fontId="0" fillId="19" borderId="10" xfId="0" applyFill="1" applyBorder="1" applyAlignment="1">
      <alignment horizontal="left"/>
    </xf>
    <xf numFmtId="0" fontId="0" fillId="19" borderId="11" xfId="0" applyFill="1" applyBorder="1" applyAlignment="1">
      <alignment horizontal="left"/>
    </xf>
    <xf numFmtId="0" fontId="0" fillId="19" borderId="12" xfId="0" applyFill="1" applyBorder="1" applyAlignment="1">
      <alignment horizontal="left"/>
    </xf>
    <xf numFmtId="0" fontId="34" fillId="18" borderId="42" xfId="0" quotePrefix="1" applyFont="1" applyFill="1" applyBorder="1" applyAlignment="1">
      <alignment horizontal="left" vertical="center"/>
    </xf>
    <xf numFmtId="0" fontId="35" fillId="18" borderId="44" xfId="0" quotePrefix="1" applyFont="1" applyFill="1" applyBorder="1" applyAlignment="1">
      <alignment horizontal="left" vertical="center"/>
    </xf>
    <xf numFmtId="0" fontId="35" fillId="18" borderId="37" xfId="0" quotePrefix="1" applyFont="1" applyFill="1" applyBorder="1" applyAlignment="1">
      <alignment horizontal="left" vertical="center"/>
    </xf>
    <xf numFmtId="0" fontId="35" fillId="18" borderId="40" xfId="0" quotePrefix="1" applyFont="1" applyFill="1" applyBorder="1" applyAlignment="1">
      <alignment horizontal="left" vertical="center"/>
    </xf>
    <xf numFmtId="0" fontId="35" fillId="18" borderId="4" xfId="0" quotePrefix="1" applyFont="1" applyFill="1" applyBorder="1" applyAlignment="1">
      <alignment horizontal="left" vertical="center"/>
    </xf>
    <xf numFmtId="0" fontId="35" fillId="18" borderId="0" xfId="0" quotePrefix="1" applyFont="1" applyFill="1" applyBorder="1" applyAlignment="1">
      <alignment horizontal="left" vertical="center"/>
    </xf>
    <xf numFmtId="0" fontId="35" fillId="18" borderId="35" xfId="0" quotePrefix="1" applyFont="1" applyFill="1" applyBorder="1" applyAlignment="1">
      <alignment horizontal="left" vertical="center"/>
    </xf>
    <xf numFmtId="0" fontId="34" fillId="18" borderId="42" xfId="0" quotePrefix="1" applyFont="1" applyFill="1" applyBorder="1" applyAlignment="1">
      <alignment horizontal="left" vertical="center" wrapText="1"/>
    </xf>
    <xf numFmtId="0" fontId="34" fillId="18" borderId="38" xfId="0" quotePrefix="1" applyFont="1" applyFill="1" applyBorder="1" applyAlignment="1">
      <alignment horizontal="left" vertical="center" wrapText="1"/>
    </xf>
    <xf numFmtId="0" fontId="34" fillId="18" borderId="36" xfId="0" quotePrefix="1" applyFont="1" applyFill="1" applyBorder="1" applyAlignment="1">
      <alignment horizontal="left" vertical="center" wrapText="1"/>
    </xf>
    <xf numFmtId="0" fontId="35" fillId="18" borderId="57" xfId="0" quotePrefix="1" applyFont="1" applyFill="1" applyBorder="1" applyAlignment="1">
      <alignment horizontal="left" vertical="center"/>
    </xf>
    <xf numFmtId="0" fontId="35" fillId="18" borderId="18" xfId="0" quotePrefix="1" applyFont="1" applyFill="1" applyBorder="1" applyAlignment="1">
      <alignment horizontal="left" vertical="center"/>
    </xf>
    <xf numFmtId="0" fontId="3" fillId="19" borderId="10" xfId="0" applyFont="1" applyFill="1" applyBorder="1" applyAlignment="1">
      <alignment horizontal="left"/>
    </xf>
    <xf numFmtId="0" fontId="3" fillId="19" borderId="11" xfId="0" applyFont="1" applyFill="1" applyBorder="1" applyAlignment="1">
      <alignment horizontal="left"/>
    </xf>
    <xf numFmtId="0" fontId="3" fillId="19" borderId="12" xfId="0" applyFont="1" applyFill="1" applyBorder="1" applyAlignment="1">
      <alignment horizontal="left"/>
    </xf>
    <xf numFmtId="0" fontId="3" fillId="19" borderId="9" xfId="0" applyFont="1" applyFill="1" applyBorder="1" applyAlignment="1">
      <alignment horizontal="left"/>
    </xf>
    <xf numFmtId="0" fontId="34" fillId="9" borderId="39" xfId="0" applyFont="1" applyFill="1" applyBorder="1" applyAlignment="1">
      <alignment horizontal="center" vertical="center"/>
    </xf>
    <xf numFmtId="0" fontId="34" fillId="9" borderId="11" xfId="0" applyFont="1" applyFill="1" applyBorder="1" applyAlignment="1">
      <alignment horizontal="center" vertical="center"/>
    </xf>
    <xf numFmtId="0" fontId="34" fillId="9" borderId="12" xfId="0" applyFont="1" applyFill="1" applyBorder="1" applyAlignment="1">
      <alignment horizontal="center" vertical="center"/>
    </xf>
    <xf numFmtId="0" fontId="35" fillId="18" borderId="44" xfId="0" quotePrefix="1" applyFont="1" applyFill="1" applyBorder="1" applyAlignment="1">
      <alignment horizontal="left" vertical="center" wrapText="1"/>
    </xf>
    <xf numFmtId="0" fontId="35" fillId="18" borderId="37" xfId="0" quotePrefix="1" applyFont="1" applyFill="1" applyBorder="1" applyAlignment="1">
      <alignment horizontal="left" vertical="center" wrapText="1"/>
    </xf>
    <xf numFmtId="0" fontId="35" fillId="18" borderId="40" xfId="0" quotePrefix="1" applyFont="1" applyFill="1" applyBorder="1" applyAlignment="1">
      <alignment horizontal="left" vertical="center" wrapText="1"/>
    </xf>
    <xf numFmtId="0" fontId="30" fillId="22" borderId="9" xfId="0" quotePrefix="1" applyFont="1" applyFill="1" applyBorder="1" applyAlignment="1">
      <alignment horizontal="left" vertical="center"/>
    </xf>
    <xf numFmtId="0" fontId="31" fillId="22" borderId="15" xfId="0" quotePrefix="1" applyFont="1" applyFill="1" applyBorder="1" applyAlignment="1">
      <alignment horizontal="left" vertical="center"/>
    </xf>
    <xf numFmtId="0" fontId="31" fillId="22" borderId="38" xfId="0" quotePrefix="1" applyFont="1" applyFill="1" applyBorder="1" applyAlignment="1">
      <alignment horizontal="left" vertical="center"/>
    </xf>
    <xf numFmtId="0" fontId="31" fillId="22" borderId="36" xfId="0" quotePrefix="1" applyFont="1" applyFill="1" applyBorder="1" applyAlignment="1">
      <alignment horizontal="left" vertical="center"/>
    </xf>
    <xf numFmtId="0" fontId="31" fillId="22" borderId="10" xfId="0" quotePrefix="1" applyFont="1" applyFill="1" applyBorder="1" applyAlignment="1">
      <alignment horizontal="left" vertical="center"/>
    </xf>
    <xf numFmtId="0" fontId="31" fillId="22" borderId="11" xfId="0" quotePrefix="1" applyFont="1" applyFill="1" applyBorder="1" applyAlignment="1">
      <alignment horizontal="left" vertical="center"/>
    </xf>
    <xf numFmtId="0" fontId="31" fillId="22" borderId="12" xfId="0" quotePrefix="1" applyFont="1" applyFill="1" applyBorder="1" applyAlignment="1">
      <alignment horizontal="left" vertical="center"/>
    </xf>
    <xf numFmtId="0" fontId="0" fillId="15" borderId="9" xfId="0" applyFont="1" applyFill="1" applyBorder="1" applyAlignment="1">
      <alignment horizontal="left"/>
    </xf>
    <xf numFmtId="0" fontId="2" fillId="9" borderId="9" xfId="0" applyFont="1" applyFill="1" applyBorder="1" applyAlignment="1">
      <alignment horizontal="left"/>
    </xf>
    <xf numFmtId="41" fontId="51" fillId="20" borderId="2" xfId="1" applyFont="1" applyFill="1" applyBorder="1" applyAlignment="1">
      <alignment horizontal="center" vertical="center"/>
    </xf>
    <xf numFmtId="41" fontId="51" fillId="20" borderId="3" xfId="1" applyFont="1" applyFill="1" applyBorder="1" applyAlignment="1">
      <alignment horizontal="center" vertical="center"/>
    </xf>
    <xf numFmtId="41" fontId="51" fillId="20" borderId="7" xfId="1" applyFont="1" applyFill="1" applyBorder="1" applyAlignment="1">
      <alignment horizontal="center" vertical="center"/>
    </xf>
    <xf numFmtId="41" fontId="51" fillId="20" borderId="8" xfId="1" applyFont="1" applyFill="1" applyBorder="1" applyAlignment="1">
      <alignment horizontal="center" vertical="center"/>
    </xf>
    <xf numFmtId="0" fontId="49" fillId="15" borderId="23" xfId="0" applyFont="1" applyFill="1" applyBorder="1" applyAlignment="1">
      <alignment horizontal="center" vertical="center" textRotation="180"/>
    </xf>
    <xf numFmtId="0" fontId="49" fillId="15" borderId="25" xfId="0" applyFont="1" applyFill="1" applyBorder="1" applyAlignment="1">
      <alignment horizontal="center" vertical="center" textRotation="180"/>
    </xf>
    <xf numFmtId="0" fontId="49" fillId="15" borderId="5" xfId="0" applyFont="1" applyFill="1" applyBorder="1" applyAlignment="1">
      <alignment horizontal="center" vertical="center" textRotation="180"/>
    </xf>
    <xf numFmtId="0" fontId="49" fillId="15" borderId="24" xfId="0" applyFont="1" applyFill="1" applyBorder="1" applyAlignment="1">
      <alignment horizontal="center" vertical="center" textRotation="180"/>
    </xf>
    <xf numFmtId="0" fontId="2" fillId="9" borderId="34" xfId="0" applyFont="1" applyFill="1" applyBorder="1" applyAlignment="1">
      <alignment horizontal="left"/>
    </xf>
    <xf numFmtId="0" fontId="2" fillId="9" borderId="33" xfId="0" applyFont="1" applyFill="1" applyBorder="1" applyAlignment="1">
      <alignment horizontal="left"/>
    </xf>
    <xf numFmtId="0" fontId="2" fillId="9" borderId="63" xfId="0" applyFont="1" applyFill="1" applyBorder="1" applyAlignment="1">
      <alignment horizontal="left"/>
    </xf>
    <xf numFmtId="0" fontId="48" fillId="17" borderId="23" xfId="0" applyFont="1" applyFill="1" applyBorder="1" applyAlignment="1">
      <alignment horizontal="center" vertical="center" textRotation="180"/>
    </xf>
    <xf numFmtId="0" fontId="48" fillId="17" borderId="25" xfId="0" applyFont="1" applyFill="1" applyBorder="1" applyAlignment="1">
      <alignment horizontal="center" vertical="center" textRotation="180"/>
    </xf>
    <xf numFmtId="0" fontId="48" fillId="17" borderId="5" xfId="0" applyFont="1" applyFill="1" applyBorder="1" applyAlignment="1">
      <alignment horizontal="center" vertical="center" textRotation="180"/>
    </xf>
    <xf numFmtId="0" fontId="48" fillId="17" borderId="24" xfId="0" applyFont="1" applyFill="1" applyBorder="1" applyAlignment="1">
      <alignment horizontal="center" vertical="center" textRotation="180"/>
    </xf>
    <xf numFmtId="0" fontId="2" fillId="9" borderId="32" xfId="0" applyFont="1" applyFill="1" applyBorder="1" applyAlignment="1">
      <alignment horizontal="left"/>
    </xf>
    <xf numFmtId="0" fontId="2" fillId="9" borderId="10" xfId="0" applyFont="1" applyFill="1" applyBorder="1" applyAlignment="1">
      <alignment horizontal="left"/>
    </xf>
    <xf numFmtId="0" fontId="61" fillId="9" borderId="27" xfId="0" applyFont="1" applyFill="1" applyBorder="1" applyAlignment="1">
      <alignment horizontal="center" vertical="center"/>
    </xf>
    <xf numFmtId="0" fontId="61" fillId="9" borderId="28" xfId="0" applyFont="1" applyFill="1" applyBorder="1" applyAlignment="1">
      <alignment horizontal="center" vertical="center"/>
    </xf>
    <xf numFmtId="0" fontId="2" fillId="9" borderId="31" xfId="0" applyFont="1" applyFill="1" applyBorder="1" applyAlignment="1">
      <alignment horizontal="left"/>
    </xf>
    <xf numFmtId="0" fontId="2" fillId="9" borderId="53" xfId="0" applyFont="1" applyFill="1" applyBorder="1" applyAlignment="1">
      <alignment horizontal="left"/>
    </xf>
    <xf numFmtId="0" fontId="2" fillId="9" borderId="62" xfId="0" applyFont="1" applyFill="1" applyBorder="1" applyAlignment="1">
      <alignment horizontal="left"/>
    </xf>
    <xf numFmtId="0" fontId="45" fillId="9" borderId="9" xfId="0" applyFont="1" applyFill="1" applyBorder="1" applyAlignment="1">
      <alignment horizontal="left"/>
    </xf>
    <xf numFmtId="0" fontId="3" fillId="15" borderId="57" xfId="0" applyFont="1" applyFill="1" applyBorder="1" applyAlignment="1">
      <alignment horizontal="left"/>
    </xf>
    <xf numFmtId="0" fontId="2" fillId="9" borderId="47" xfId="0" applyFont="1" applyFill="1" applyBorder="1" applyAlignment="1">
      <alignment horizontal="left"/>
    </xf>
    <xf numFmtId="0" fontId="2" fillId="9" borderId="14" xfId="0" applyFont="1" applyFill="1" applyBorder="1" applyAlignment="1">
      <alignment horizontal="left"/>
    </xf>
    <xf numFmtId="0" fontId="45" fillId="9" borderId="13" xfId="0" applyFont="1" applyFill="1" applyBorder="1" applyAlignment="1">
      <alignment horizontal="left"/>
    </xf>
    <xf numFmtId="0" fontId="2" fillId="9" borderId="45" xfId="0" applyFont="1" applyFill="1" applyBorder="1" applyAlignment="1">
      <alignment horizontal="left"/>
    </xf>
    <xf numFmtId="0" fontId="2" fillId="9" borderId="46" xfId="0" applyFont="1" applyFill="1" applyBorder="1" applyAlignment="1">
      <alignment horizontal="left"/>
    </xf>
    <xf numFmtId="0" fontId="32" fillId="29" borderId="39" xfId="0" applyFont="1" applyFill="1" applyBorder="1" applyAlignment="1">
      <alignment horizontal="center" vertical="center"/>
    </xf>
    <xf numFmtId="0" fontId="32" fillId="29" borderId="11" xfId="0" applyFont="1" applyFill="1" applyBorder="1" applyAlignment="1">
      <alignment horizontal="center" vertical="center"/>
    </xf>
    <xf numFmtId="0" fontId="32" fillId="29" borderId="12" xfId="0" applyFont="1" applyFill="1" applyBorder="1" applyAlignment="1">
      <alignment horizontal="center" vertical="center"/>
    </xf>
    <xf numFmtId="0" fontId="48" fillId="20" borderId="20" xfId="0" applyFont="1" applyFill="1" applyBorder="1" applyAlignment="1">
      <alignment horizontal="center"/>
    </xf>
    <xf numFmtId="0" fontId="48" fillId="20" borderId="21" xfId="0" applyFont="1" applyFill="1" applyBorder="1" applyAlignment="1">
      <alignment horizontal="center"/>
    </xf>
    <xf numFmtId="0" fontId="48" fillId="20" borderId="22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32" fillId="29" borderId="42" xfId="0" applyFont="1" applyFill="1" applyBorder="1" applyAlignment="1">
      <alignment horizontal="center" vertical="center"/>
    </xf>
    <xf numFmtId="0" fontId="32" fillId="29" borderId="38" xfId="0" applyFont="1" applyFill="1" applyBorder="1" applyAlignment="1">
      <alignment horizontal="center" vertical="center"/>
    </xf>
    <xf numFmtId="0" fontId="32" fillId="29" borderId="36" xfId="0" applyFont="1" applyFill="1" applyBorder="1" applyAlignment="1">
      <alignment horizontal="center" vertical="center"/>
    </xf>
    <xf numFmtId="0" fontId="35" fillId="16" borderId="9" xfId="0" quotePrefix="1" applyFont="1" applyFill="1" applyBorder="1" applyAlignment="1">
      <alignment horizontal="left" vertical="center"/>
    </xf>
    <xf numFmtId="0" fontId="14" fillId="27" borderId="6" xfId="0" applyFont="1" applyFill="1" applyBorder="1" applyAlignment="1">
      <alignment horizontal="center"/>
    </xf>
    <xf numFmtId="0" fontId="14" fillId="27" borderId="7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/>
    </xf>
    <xf numFmtId="0" fontId="10" fillId="6" borderId="21" xfId="0" applyFont="1" applyFill="1" applyBorder="1" applyAlignment="1">
      <alignment horizontal="center"/>
    </xf>
    <xf numFmtId="0" fontId="10" fillId="6" borderId="22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left"/>
    </xf>
    <xf numFmtId="0" fontId="3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0" fillId="2" borderId="60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1" xfId="0" applyFill="1" applyBorder="1" applyAlignment="1">
      <alignment horizontal="left"/>
    </xf>
    <xf numFmtId="10" fontId="3" fillId="2" borderId="1" xfId="2" applyNumberFormat="1" applyFont="1" applyFill="1" applyBorder="1" applyAlignment="1">
      <alignment horizontal="center" vertical="center"/>
    </xf>
    <xf numFmtId="10" fontId="3" fillId="2" borderId="2" xfId="2" applyNumberFormat="1" applyFont="1" applyFill="1" applyBorder="1" applyAlignment="1">
      <alignment horizontal="center" vertical="center"/>
    </xf>
    <xf numFmtId="10" fontId="3" fillId="2" borderId="3" xfId="2" applyNumberFormat="1" applyFont="1" applyFill="1" applyBorder="1" applyAlignment="1">
      <alignment horizontal="center" vertical="center"/>
    </xf>
    <xf numFmtId="10" fontId="3" fillId="2" borderId="4" xfId="2" applyNumberFormat="1" applyFont="1" applyFill="1" applyBorder="1" applyAlignment="1">
      <alignment horizontal="center" vertical="center"/>
    </xf>
    <xf numFmtId="10" fontId="3" fillId="2" borderId="0" xfId="2" applyNumberFormat="1" applyFont="1" applyFill="1" applyBorder="1" applyAlignment="1">
      <alignment horizontal="center" vertical="center"/>
    </xf>
    <xf numFmtId="10" fontId="3" fillId="2" borderId="5" xfId="2" applyNumberFormat="1" applyFont="1" applyFill="1" applyBorder="1" applyAlignment="1">
      <alignment horizontal="center" vertical="center"/>
    </xf>
    <xf numFmtId="10" fontId="3" fillId="2" borderId="6" xfId="2" applyNumberFormat="1" applyFont="1" applyFill="1" applyBorder="1" applyAlignment="1">
      <alignment horizontal="center" vertical="center"/>
    </xf>
    <xf numFmtId="10" fontId="3" fillId="2" borderId="7" xfId="2" applyNumberFormat="1" applyFont="1" applyFill="1" applyBorder="1" applyAlignment="1">
      <alignment horizontal="center" vertical="center"/>
    </xf>
    <xf numFmtId="10" fontId="3" fillId="2" borderId="8" xfId="2" applyNumberFormat="1" applyFont="1" applyFill="1" applyBorder="1" applyAlignment="1">
      <alignment horizontal="center" vertical="center"/>
    </xf>
    <xf numFmtId="0" fontId="0" fillId="2" borderId="32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46" xfId="0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3" fillId="2" borderId="33" xfId="0" applyFont="1" applyFill="1" applyBorder="1" applyAlignment="1">
      <alignment horizontal="left"/>
    </xf>
    <xf numFmtId="0" fontId="3" fillId="2" borderId="47" xfId="0" applyFon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2" fillId="6" borderId="9" xfId="0" applyFont="1" applyFill="1" applyBorder="1" applyAlignment="1">
      <alignment horizontal="center"/>
    </xf>
    <xf numFmtId="10" fontId="2" fillId="9" borderId="9" xfId="2" applyNumberFormat="1" applyFont="1" applyFill="1" applyBorder="1" applyAlignment="1">
      <alignment horizontal="center"/>
    </xf>
    <xf numFmtId="10" fontId="2" fillId="9" borderId="10" xfId="2" applyNumberFormat="1" applyFont="1" applyFill="1" applyBorder="1" applyAlignment="1">
      <alignment horizontal="center"/>
    </xf>
    <xf numFmtId="0" fontId="36" fillId="6" borderId="20" xfId="0" applyFont="1" applyFill="1" applyBorder="1" applyAlignment="1">
      <alignment horizontal="center"/>
    </xf>
    <xf numFmtId="0" fontId="36" fillId="6" borderId="21" xfId="0" applyFont="1" applyFill="1" applyBorder="1" applyAlignment="1">
      <alignment horizontal="center"/>
    </xf>
    <xf numFmtId="0" fontId="36" fillId="6" borderId="22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" fillId="7" borderId="10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3" fillId="6" borderId="9" xfId="0" applyFont="1" applyFill="1" applyBorder="1" applyAlignment="1">
      <alignment horizontal="left"/>
    </xf>
    <xf numFmtId="0" fontId="3" fillId="7" borderId="10" xfId="0" applyFont="1" applyFill="1" applyBorder="1" applyAlignment="1">
      <alignment horizontal="left"/>
    </xf>
    <xf numFmtId="0" fontId="3" fillId="7" borderId="11" xfId="0" applyFont="1" applyFill="1" applyBorder="1" applyAlignment="1">
      <alignment horizontal="left"/>
    </xf>
    <xf numFmtId="0" fontId="3" fillId="3" borderId="62" xfId="0" applyFont="1" applyFill="1" applyBorder="1" applyAlignment="1">
      <alignment horizontal="left"/>
    </xf>
    <xf numFmtId="0" fontId="3" fillId="3" borderId="65" xfId="0" applyFont="1" applyFill="1" applyBorder="1" applyAlignment="1">
      <alignment horizontal="left"/>
    </xf>
    <xf numFmtId="0" fontId="3" fillId="3" borderId="64" xfId="0" applyFont="1" applyFill="1" applyBorder="1" applyAlignment="1">
      <alignment horizontal="left"/>
    </xf>
    <xf numFmtId="0" fontId="3" fillId="6" borderId="10" xfId="0" applyFont="1" applyFill="1" applyBorder="1" applyAlignment="1">
      <alignment horizontal="left"/>
    </xf>
    <xf numFmtId="0" fontId="3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left"/>
    </xf>
    <xf numFmtId="0" fontId="7" fillId="8" borderId="10" xfId="0" applyFont="1" applyFill="1" applyBorder="1" applyAlignment="1">
      <alignment horizontal="left"/>
    </xf>
    <xf numFmtId="0" fontId="7" fillId="8" borderId="11" xfId="0" applyFont="1" applyFill="1" applyBorder="1" applyAlignment="1">
      <alignment horizontal="left"/>
    </xf>
    <xf numFmtId="0" fontId="7" fillId="8" borderId="12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3" fillId="3" borderId="38" xfId="0" applyFont="1" applyFill="1" applyBorder="1" applyAlignment="1">
      <alignment horizontal="left"/>
    </xf>
    <xf numFmtId="0" fontId="3" fillId="3" borderId="36" xfId="0" applyFont="1" applyFill="1" applyBorder="1" applyAlignment="1">
      <alignment horizontal="left"/>
    </xf>
    <xf numFmtId="0" fontId="52" fillId="2" borderId="4" xfId="0" applyFont="1" applyFill="1" applyBorder="1" applyAlignment="1">
      <alignment horizontal="left"/>
    </xf>
    <xf numFmtId="0" fontId="52" fillId="2" borderId="0" xfId="0" applyFont="1" applyFill="1" applyBorder="1" applyAlignment="1">
      <alignment horizontal="left"/>
    </xf>
    <xf numFmtId="0" fontId="52" fillId="2" borderId="35" xfId="0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horizontal="left"/>
    </xf>
    <xf numFmtId="0" fontId="3" fillId="3" borderId="2" xfId="0" applyNumberFormat="1" applyFont="1" applyFill="1" applyBorder="1" applyAlignment="1">
      <alignment horizontal="left"/>
    </xf>
    <xf numFmtId="0" fontId="3" fillId="3" borderId="66" xfId="0" applyNumberFormat="1" applyFont="1" applyFill="1" applyBorder="1" applyAlignment="1">
      <alignment horizontal="left"/>
    </xf>
    <xf numFmtId="41" fontId="51" fillId="8" borderId="1" xfId="1" applyFont="1" applyFill="1" applyBorder="1" applyAlignment="1">
      <alignment horizontal="center" vertical="center"/>
    </xf>
    <xf numFmtId="41" fontId="51" fillId="8" borderId="3" xfId="1" applyFont="1" applyFill="1" applyBorder="1" applyAlignment="1">
      <alignment horizontal="center" vertical="center"/>
    </xf>
    <xf numFmtId="41" fontId="51" fillId="8" borderId="6" xfId="1" applyFont="1" applyFill="1" applyBorder="1" applyAlignment="1">
      <alignment horizontal="center" vertical="center"/>
    </xf>
    <xf numFmtId="41" fontId="51" fillId="8" borderId="8" xfId="1" applyFont="1" applyFill="1" applyBorder="1" applyAlignment="1">
      <alignment horizontal="center" vertical="center"/>
    </xf>
    <xf numFmtId="0" fontId="36" fillId="6" borderId="1" xfId="0" applyFont="1" applyFill="1" applyBorder="1" applyAlignment="1">
      <alignment horizontal="center"/>
    </xf>
    <xf numFmtId="0" fontId="36" fillId="6" borderId="2" xfId="0" applyFont="1" applyFill="1" applyBorder="1" applyAlignment="1">
      <alignment horizontal="center"/>
    </xf>
    <xf numFmtId="0" fontId="36" fillId="6" borderId="3" xfId="0" applyFont="1" applyFill="1" applyBorder="1" applyAlignment="1">
      <alignment horizontal="center"/>
    </xf>
    <xf numFmtId="0" fontId="36" fillId="6" borderId="15" xfId="0" applyFont="1" applyFill="1" applyBorder="1" applyAlignment="1">
      <alignment horizontal="left" vertical="center"/>
    </xf>
    <xf numFmtId="0" fontId="36" fillId="6" borderId="38" xfId="0" applyFont="1" applyFill="1" applyBorder="1" applyAlignment="1">
      <alignment horizontal="left" vertical="center"/>
    </xf>
    <xf numFmtId="0" fontId="36" fillId="6" borderId="36" xfId="0" applyFont="1" applyFill="1" applyBorder="1" applyAlignment="1">
      <alignment horizontal="left" vertical="center"/>
    </xf>
    <xf numFmtId="0" fontId="0" fillId="30" borderId="9" xfId="0" applyFill="1" applyBorder="1" applyAlignment="1">
      <alignment horizontal="left"/>
    </xf>
    <xf numFmtId="0" fontId="15" fillId="30" borderId="9" xfId="0" quotePrefix="1" applyFont="1" applyFill="1" applyBorder="1" applyAlignment="1">
      <alignment horizontal="left"/>
    </xf>
    <xf numFmtId="0" fontId="3" fillId="30" borderId="9" xfId="0" applyFont="1" applyFill="1" applyBorder="1" applyAlignment="1">
      <alignment horizontal="left"/>
    </xf>
    <xf numFmtId="0" fontId="34" fillId="6" borderId="39" xfId="0" applyFont="1" applyFill="1" applyBorder="1" applyAlignment="1">
      <alignment horizontal="center" vertical="center"/>
    </xf>
    <xf numFmtId="0" fontId="34" fillId="6" borderId="11" xfId="0" applyFont="1" applyFill="1" applyBorder="1" applyAlignment="1">
      <alignment horizontal="center" vertical="center"/>
    </xf>
    <xf numFmtId="0" fontId="34" fillId="6" borderId="12" xfId="0" applyFont="1" applyFill="1" applyBorder="1" applyAlignment="1">
      <alignment horizontal="center" vertical="center"/>
    </xf>
    <xf numFmtId="0" fontId="35" fillId="24" borderId="4" xfId="0" quotePrefix="1" applyFont="1" applyFill="1" applyBorder="1" applyAlignment="1">
      <alignment horizontal="left" vertical="center"/>
    </xf>
    <xf numFmtId="0" fontId="35" fillId="24" borderId="0" xfId="0" quotePrefix="1" applyFont="1" applyFill="1" applyBorder="1" applyAlignment="1">
      <alignment horizontal="left" vertical="center"/>
    </xf>
    <xf numFmtId="0" fontId="35" fillId="24" borderId="35" xfId="0" quotePrefix="1" applyFont="1" applyFill="1" applyBorder="1" applyAlignment="1">
      <alignment horizontal="left" vertical="center"/>
    </xf>
    <xf numFmtId="0" fontId="0" fillId="30" borderId="10" xfId="0" applyFill="1" applyBorder="1" applyAlignment="1">
      <alignment horizontal="left"/>
    </xf>
    <xf numFmtId="0" fontId="0" fillId="30" borderId="11" xfId="0" applyFill="1" applyBorder="1" applyAlignment="1">
      <alignment horizontal="left"/>
    </xf>
    <xf numFmtId="0" fontId="0" fillId="30" borderId="12" xfId="0" applyFill="1" applyBorder="1" applyAlignment="1">
      <alignment horizontal="left"/>
    </xf>
    <xf numFmtId="0" fontId="3" fillId="30" borderId="10" xfId="0" applyFont="1" applyFill="1" applyBorder="1" applyAlignment="1">
      <alignment horizontal="left"/>
    </xf>
    <xf numFmtId="0" fontId="3" fillId="30" borderId="11" xfId="0" applyFont="1" applyFill="1" applyBorder="1" applyAlignment="1">
      <alignment horizontal="left"/>
    </xf>
    <xf numFmtId="0" fontId="3" fillId="30" borderId="12" xfId="0" applyFont="1" applyFill="1" applyBorder="1" applyAlignment="1">
      <alignment horizontal="left"/>
    </xf>
    <xf numFmtId="0" fontId="34" fillId="24" borderId="42" xfId="0" quotePrefix="1" applyFont="1" applyFill="1" applyBorder="1" applyAlignment="1">
      <alignment horizontal="left" vertical="center"/>
    </xf>
    <xf numFmtId="0" fontId="34" fillId="24" borderId="38" xfId="0" quotePrefix="1" applyFont="1" applyFill="1" applyBorder="1" applyAlignment="1">
      <alignment horizontal="left" vertical="center"/>
    </xf>
    <xf numFmtId="0" fontId="34" fillId="24" borderId="36" xfId="0" quotePrefix="1" applyFont="1" applyFill="1" applyBorder="1" applyAlignment="1">
      <alignment horizontal="left" vertical="center"/>
    </xf>
    <xf numFmtId="0" fontId="35" fillId="24" borderId="44" xfId="0" quotePrefix="1" applyFont="1" applyFill="1" applyBorder="1" applyAlignment="1">
      <alignment horizontal="left" vertical="center"/>
    </xf>
    <xf numFmtId="0" fontId="35" fillId="24" borderId="37" xfId="0" quotePrefix="1" applyFont="1" applyFill="1" applyBorder="1" applyAlignment="1">
      <alignment horizontal="left" vertical="center"/>
    </xf>
    <xf numFmtId="0" fontId="35" fillId="24" borderId="40" xfId="0" quotePrefix="1" applyFont="1" applyFill="1" applyBorder="1" applyAlignment="1">
      <alignment horizontal="left" vertical="center"/>
    </xf>
    <xf numFmtId="0" fontId="34" fillId="24" borderId="4" xfId="0" quotePrefix="1" applyFont="1" applyFill="1" applyBorder="1" applyAlignment="1">
      <alignment horizontal="left" vertical="center"/>
    </xf>
    <xf numFmtId="0" fontId="34" fillId="24" borderId="0" xfId="0" quotePrefix="1" applyFont="1" applyFill="1" applyBorder="1" applyAlignment="1">
      <alignment horizontal="left" vertical="center"/>
    </xf>
    <xf numFmtId="0" fontId="34" fillId="24" borderId="35" xfId="0" quotePrefix="1" applyFont="1" applyFill="1" applyBorder="1" applyAlignment="1">
      <alignment horizontal="left" vertical="center"/>
    </xf>
    <xf numFmtId="0" fontId="32" fillId="24" borderId="39" xfId="0" quotePrefix="1" applyFont="1" applyFill="1" applyBorder="1" applyAlignment="1">
      <alignment horizontal="left" vertical="center"/>
    </xf>
    <xf numFmtId="0" fontId="32" fillId="24" borderId="11" xfId="0" quotePrefix="1" applyFont="1" applyFill="1" applyBorder="1" applyAlignment="1">
      <alignment horizontal="left" vertical="center"/>
    </xf>
    <xf numFmtId="0" fontId="32" fillId="24" borderId="12" xfId="0" quotePrefix="1" applyFont="1" applyFill="1" applyBorder="1" applyAlignment="1">
      <alignment horizontal="left" vertical="center"/>
    </xf>
    <xf numFmtId="0" fontId="34" fillId="24" borderId="42" xfId="0" quotePrefix="1" applyFont="1" applyFill="1" applyBorder="1" applyAlignment="1">
      <alignment horizontal="left" vertical="center" wrapText="1"/>
    </xf>
    <xf numFmtId="0" fontId="34" fillId="24" borderId="38" xfId="0" quotePrefix="1" applyFont="1" applyFill="1" applyBorder="1" applyAlignment="1">
      <alignment horizontal="left" vertical="center" wrapText="1"/>
    </xf>
    <xf numFmtId="0" fontId="34" fillId="24" borderId="36" xfId="0" quotePrefix="1" applyFont="1" applyFill="1" applyBorder="1" applyAlignment="1">
      <alignment horizontal="left" vertical="center" wrapText="1"/>
    </xf>
    <xf numFmtId="0" fontId="35" fillId="24" borderId="44" xfId="0" quotePrefix="1" applyFont="1" applyFill="1" applyBorder="1" applyAlignment="1">
      <alignment horizontal="left" vertical="center" wrapText="1"/>
    </xf>
    <xf numFmtId="0" fontId="35" fillId="24" borderId="37" xfId="0" quotePrefix="1" applyFont="1" applyFill="1" applyBorder="1" applyAlignment="1">
      <alignment horizontal="left" vertical="center" wrapText="1"/>
    </xf>
    <xf numFmtId="0" fontId="35" fillId="24" borderId="40" xfId="0" quotePrefix="1" applyFont="1" applyFill="1" applyBorder="1" applyAlignment="1">
      <alignment horizontal="left" vertical="center" wrapText="1"/>
    </xf>
    <xf numFmtId="0" fontId="32" fillId="18" borderId="39" xfId="0" quotePrefix="1" applyFont="1" applyFill="1" applyBorder="1" applyAlignment="1">
      <alignment horizontal="right" vertical="center"/>
    </xf>
    <xf numFmtId="0" fontId="32" fillId="18" borderId="11" xfId="0" quotePrefix="1" applyFont="1" applyFill="1" applyBorder="1" applyAlignment="1">
      <alignment horizontal="right" vertical="center"/>
    </xf>
    <xf numFmtId="0" fontId="32" fillId="18" borderId="12" xfId="0" quotePrefix="1" applyFont="1" applyFill="1" applyBorder="1" applyAlignment="1">
      <alignment horizontal="right" vertical="center"/>
    </xf>
    <xf numFmtId="0" fontId="0" fillId="16" borderId="9" xfId="0" applyFont="1" applyFill="1" applyBorder="1" applyAlignment="1">
      <alignment horizontal="left"/>
    </xf>
    <xf numFmtId="0" fontId="37" fillId="6" borderId="9" xfId="0" applyFont="1" applyFill="1" applyBorder="1" applyAlignment="1">
      <alignment horizontal="center"/>
    </xf>
    <xf numFmtId="0" fontId="38" fillId="6" borderId="42" xfId="0" quotePrefix="1" applyFont="1" applyFill="1" applyBorder="1" applyAlignment="1">
      <alignment horizontal="center" vertical="center"/>
    </xf>
    <xf numFmtId="0" fontId="38" fillId="6" borderId="38" xfId="0" quotePrefix="1" applyFont="1" applyFill="1" applyBorder="1" applyAlignment="1">
      <alignment horizontal="center" vertical="center"/>
    </xf>
    <xf numFmtId="0" fontId="32" fillId="16" borderId="9" xfId="5" quotePrefix="1" applyFont="1" applyFill="1" applyBorder="1" applyAlignment="1">
      <alignment horizontal="left" vertical="center"/>
    </xf>
    <xf numFmtId="0" fontId="32" fillId="16" borderId="9" xfId="5" applyFont="1" applyFill="1" applyBorder="1" applyAlignment="1">
      <alignment horizontal="left" vertical="center"/>
    </xf>
    <xf numFmtId="0" fontId="31" fillId="16" borderId="9" xfId="0" quotePrefix="1" applyFont="1" applyFill="1" applyBorder="1" applyAlignment="1">
      <alignment horizontal="left" vertical="center"/>
    </xf>
    <xf numFmtId="0" fontId="3" fillId="16" borderId="58" xfId="0" applyFont="1" applyFill="1" applyBorder="1" applyAlignment="1">
      <alignment horizontal="left"/>
    </xf>
    <xf numFmtId="0" fontId="3" fillId="16" borderId="57" xfId="0" applyFont="1" applyFill="1" applyBorder="1" applyAlignment="1">
      <alignment horizontal="left"/>
    </xf>
    <xf numFmtId="0" fontId="3" fillId="16" borderId="13" xfId="0" applyFont="1" applyFill="1" applyBorder="1" applyAlignment="1">
      <alignment horizontal="left"/>
    </xf>
    <xf numFmtId="0" fontId="3" fillId="16" borderId="9" xfId="0" applyFont="1" applyFill="1" applyBorder="1" applyAlignment="1">
      <alignment horizontal="left"/>
    </xf>
    <xf numFmtId="0" fontId="44" fillId="6" borderId="9" xfId="0" applyFont="1" applyFill="1" applyBorder="1" applyAlignment="1">
      <alignment horizontal="left"/>
    </xf>
    <xf numFmtId="0" fontId="49" fillId="16" borderId="23" xfId="0" applyFont="1" applyFill="1" applyBorder="1" applyAlignment="1">
      <alignment horizontal="center" vertical="center" textRotation="180"/>
    </xf>
    <xf numFmtId="0" fontId="49" fillId="16" borderId="25" xfId="0" applyFont="1" applyFill="1" applyBorder="1" applyAlignment="1">
      <alignment horizontal="center" vertical="center" textRotation="180"/>
    </xf>
    <xf numFmtId="0" fontId="49" fillId="16" borderId="5" xfId="0" applyFont="1" applyFill="1" applyBorder="1" applyAlignment="1">
      <alignment horizontal="center" vertical="center" textRotation="180"/>
    </xf>
    <xf numFmtId="0" fontId="49" fillId="16" borderId="24" xfId="0" applyFont="1" applyFill="1" applyBorder="1" applyAlignment="1">
      <alignment horizontal="center" vertical="center" textRotation="180"/>
    </xf>
    <xf numFmtId="0" fontId="45" fillId="6" borderId="9" xfId="0" applyFont="1" applyFill="1" applyBorder="1" applyAlignment="1">
      <alignment horizontal="left"/>
    </xf>
    <xf numFmtId="0" fontId="3" fillId="16" borderId="10" xfId="0" applyFont="1" applyFill="1" applyBorder="1" applyAlignment="1">
      <alignment horizontal="left"/>
    </xf>
    <xf numFmtId="0" fontId="3" fillId="16" borderId="11" xfId="0" applyFont="1" applyFill="1" applyBorder="1" applyAlignment="1">
      <alignment horizontal="left"/>
    </xf>
    <xf numFmtId="0" fontId="3" fillId="16" borderId="12" xfId="0" applyFont="1" applyFill="1" applyBorder="1" applyAlignment="1">
      <alignment horizontal="left"/>
    </xf>
    <xf numFmtId="0" fontId="0" fillId="16" borderId="10" xfId="0" applyFont="1" applyFill="1" applyBorder="1" applyAlignment="1">
      <alignment horizontal="left"/>
    </xf>
    <xf numFmtId="0" fontId="0" fillId="16" borderId="11" xfId="0" applyFont="1" applyFill="1" applyBorder="1" applyAlignment="1">
      <alignment horizontal="left"/>
    </xf>
    <xf numFmtId="0" fontId="0" fillId="16" borderId="12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48" fillId="16" borderId="23" xfId="0" applyFont="1" applyFill="1" applyBorder="1" applyAlignment="1">
      <alignment horizontal="center" vertical="center" textRotation="180" wrapText="1"/>
    </xf>
    <xf numFmtId="0" fontId="48" fillId="16" borderId="25" xfId="0" applyFont="1" applyFill="1" applyBorder="1" applyAlignment="1">
      <alignment horizontal="center" vertical="center" textRotation="180" wrapText="1"/>
    </xf>
    <xf numFmtId="0" fontId="48" fillId="16" borderId="24" xfId="0" applyFont="1" applyFill="1" applyBorder="1" applyAlignment="1">
      <alignment horizontal="center" vertical="center" textRotation="180" wrapText="1"/>
    </xf>
    <xf numFmtId="0" fontId="34" fillId="16" borderId="9" xfId="0" quotePrefix="1" applyFont="1" applyFill="1" applyBorder="1" applyAlignment="1">
      <alignment horizontal="left" vertical="center" wrapText="1"/>
    </xf>
    <xf numFmtId="0" fontId="3" fillId="16" borderId="14" xfId="0" applyFont="1" applyFill="1" applyBorder="1" applyAlignment="1">
      <alignment horizontal="left"/>
    </xf>
    <xf numFmtId="41" fontId="51" fillId="0" borderId="0" xfId="1" applyFont="1" applyFill="1" applyBorder="1" applyAlignment="1">
      <alignment horizontal="center" vertical="center"/>
    </xf>
    <xf numFmtId="0" fontId="62" fillId="20" borderId="1" xfId="0" applyFont="1" applyFill="1" applyBorder="1" applyAlignment="1">
      <alignment horizontal="center" vertical="center"/>
    </xf>
    <xf numFmtId="0" fontId="62" fillId="20" borderId="2" xfId="0" applyFont="1" applyFill="1" applyBorder="1" applyAlignment="1">
      <alignment horizontal="center" vertical="center"/>
    </xf>
    <xf numFmtId="0" fontId="62" fillId="20" borderId="3" xfId="0" applyFont="1" applyFill="1" applyBorder="1" applyAlignment="1">
      <alignment horizontal="center" vertical="center"/>
    </xf>
    <xf numFmtId="0" fontId="62" fillId="20" borderId="6" xfId="0" applyFont="1" applyFill="1" applyBorder="1" applyAlignment="1">
      <alignment horizontal="center" vertical="center"/>
    </xf>
    <xf numFmtId="0" fontId="62" fillId="20" borderId="7" xfId="0" applyFont="1" applyFill="1" applyBorder="1" applyAlignment="1">
      <alignment horizontal="center" vertical="center"/>
    </xf>
    <xf numFmtId="0" fontId="62" fillId="20" borderId="8" xfId="0" applyFont="1" applyFill="1" applyBorder="1" applyAlignment="1">
      <alignment horizontal="center" vertical="center"/>
    </xf>
    <xf numFmtId="0" fontId="50" fillId="20" borderId="27" xfId="0" applyFont="1" applyFill="1" applyBorder="1" applyAlignment="1">
      <alignment horizontal="center" vertical="center"/>
    </xf>
    <xf numFmtId="0" fontId="50" fillId="20" borderId="28" xfId="0" applyFont="1" applyFill="1" applyBorder="1" applyAlignment="1">
      <alignment horizontal="center" vertical="center"/>
    </xf>
    <xf numFmtId="0" fontId="50" fillId="20" borderId="29" xfId="0" applyFont="1" applyFill="1" applyBorder="1" applyAlignment="1">
      <alignment horizontal="center" vertical="center"/>
    </xf>
    <xf numFmtId="0" fontId="3" fillId="20" borderId="31" xfId="0" applyFont="1" applyFill="1" applyBorder="1" applyAlignment="1">
      <alignment horizontal="left"/>
    </xf>
    <xf numFmtId="0" fontId="3" fillId="20" borderId="53" xfId="0" applyFont="1" applyFill="1" applyBorder="1" applyAlignment="1">
      <alignment horizontal="left"/>
    </xf>
    <xf numFmtId="0" fontId="3" fillId="20" borderId="45" xfId="0" applyFont="1" applyFill="1" applyBorder="1" applyAlignment="1">
      <alignment horizontal="left"/>
    </xf>
    <xf numFmtId="0" fontId="3" fillId="20" borderId="34" xfId="0" applyFont="1" applyFill="1" applyBorder="1" applyAlignment="1">
      <alignment horizontal="left"/>
    </xf>
    <xf numFmtId="0" fontId="3" fillId="20" borderId="33" xfId="0" applyFont="1" applyFill="1" applyBorder="1" applyAlignment="1">
      <alignment horizontal="left"/>
    </xf>
    <xf numFmtId="0" fontId="3" fillId="20" borderId="47" xfId="0" applyFont="1" applyFill="1" applyBorder="1" applyAlignment="1">
      <alignment horizontal="left"/>
    </xf>
    <xf numFmtId="0" fontId="3" fillId="20" borderId="32" xfId="0" applyFont="1" applyFill="1" applyBorder="1" applyAlignment="1">
      <alignment horizontal="left"/>
    </xf>
    <xf numFmtId="0" fontId="3" fillId="20" borderId="9" xfId="0" applyFont="1" applyFill="1" applyBorder="1" applyAlignment="1">
      <alignment horizontal="left"/>
    </xf>
    <xf numFmtId="0" fontId="3" fillId="20" borderId="46" xfId="0" applyFont="1" applyFill="1" applyBorder="1" applyAlignment="1">
      <alignment horizontal="left"/>
    </xf>
    <xf numFmtId="0" fontId="60" fillId="6" borderId="13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left"/>
    </xf>
    <xf numFmtId="0" fontId="2" fillId="6" borderId="53" xfId="0" applyFont="1" applyFill="1" applyBorder="1" applyAlignment="1">
      <alignment horizontal="left"/>
    </xf>
    <xf numFmtId="0" fontId="2" fillId="6" borderId="45" xfId="0" applyFont="1" applyFill="1" applyBorder="1" applyAlignment="1">
      <alignment horizontal="left"/>
    </xf>
    <xf numFmtId="0" fontId="2" fillId="6" borderId="32" xfId="0" applyFont="1" applyFill="1" applyBorder="1" applyAlignment="1">
      <alignment horizontal="left"/>
    </xf>
    <xf numFmtId="0" fontId="2" fillId="6" borderId="46" xfId="0" applyFont="1" applyFill="1" applyBorder="1" applyAlignment="1">
      <alignment horizontal="left"/>
    </xf>
    <xf numFmtId="0" fontId="2" fillId="6" borderId="34" xfId="0" applyFont="1" applyFill="1" applyBorder="1" applyAlignment="1">
      <alignment horizontal="left"/>
    </xf>
    <xf numFmtId="0" fontId="2" fillId="6" borderId="33" xfId="0" applyFont="1" applyFill="1" applyBorder="1" applyAlignment="1">
      <alignment horizontal="left"/>
    </xf>
    <xf numFmtId="0" fontId="2" fillId="6" borderId="47" xfId="0" applyFont="1" applyFill="1" applyBorder="1" applyAlignment="1">
      <alignment horizontal="left"/>
    </xf>
    <xf numFmtId="0" fontId="48" fillId="16" borderId="23" xfId="0" applyFont="1" applyFill="1" applyBorder="1" applyAlignment="1">
      <alignment horizontal="center" vertical="center" textRotation="180"/>
    </xf>
    <xf numFmtId="0" fontId="48" fillId="16" borderId="25" xfId="0" applyFont="1" applyFill="1" applyBorder="1" applyAlignment="1">
      <alignment horizontal="center" vertical="center" textRotation="180"/>
    </xf>
    <xf numFmtId="0" fontId="48" fillId="16" borderId="5" xfId="0" applyFont="1" applyFill="1" applyBorder="1" applyAlignment="1">
      <alignment horizontal="center" vertical="center" textRotation="180"/>
    </xf>
    <xf numFmtId="0" fontId="48" fillId="16" borderId="24" xfId="0" applyFont="1" applyFill="1" applyBorder="1" applyAlignment="1">
      <alignment horizontal="center" vertical="center" textRotation="180"/>
    </xf>
    <xf numFmtId="0" fontId="67" fillId="0" borderId="0" xfId="0" applyFont="1" applyAlignment="1">
      <alignment horizontal="left"/>
    </xf>
    <xf numFmtId="0" fontId="67" fillId="0" borderId="32" xfId="0" applyFont="1" applyBorder="1" applyAlignment="1">
      <alignment horizontal="left"/>
    </xf>
    <xf numFmtId="0" fontId="67" fillId="0" borderId="9" xfId="0" applyFont="1" applyBorder="1" applyAlignment="1">
      <alignment horizontal="left"/>
    </xf>
    <xf numFmtId="0" fontId="67" fillId="0" borderId="46" xfId="0" applyFont="1" applyBorder="1" applyAlignment="1">
      <alignment horizontal="left"/>
    </xf>
    <xf numFmtId="0" fontId="52" fillId="0" borderId="12" xfId="0" applyFont="1" applyBorder="1" applyAlignment="1">
      <alignment horizontal="left"/>
    </xf>
    <xf numFmtId="0" fontId="52" fillId="0" borderId="9" xfId="0" applyFont="1" applyBorder="1" applyAlignment="1">
      <alignment horizontal="left"/>
    </xf>
    <xf numFmtId="0" fontId="52" fillId="0" borderId="10" xfId="0" applyFont="1" applyBorder="1" applyAlignment="1">
      <alignment horizontal="left"/>
    </xf>
    <xf numFmtId="0" fontId="52" fillId="0" borderId="46" xfId="0" applyFont="1" applyBorder="1" applyAlignment="1">
      <alignment horizontal="left"/>
    </xf>
    <xf numFmtId="0" fontId="70" fillId="9" borderId="9" xfId="0" applyFont="1" applyFill="1" applyBorder="1" applyAlignment="1">
      <alignment horizontal="left"/>
    </xf>
    <xf numFmtId="0" fontId="69" fillId="25" borderId="9" xfId="0" applyFont="1" applyFill="1" applyBorder="1" applyAlignment="1">
      <alignment horizontal="center"/>
    </xf>
    <xf numFmtId="0" fontId="67" fillId="0" borderId="31" xfId="0" applyFont="1" applyBorder="1" applyAlignment="1">
      <alignment horizontal="left"/>
    </xf>
    <xf numFmtId="0" fontId="67" fillId="0" borderId="53" xfId="0" applyFont="1" applyBorder="1" applyAlignment="1">
      <alignment horizontal="left"/>
    </xf>
    <xf numFmtId="0" fontId="67" fillId="0" borderId="45" xfId="0" applyFont="1" applyBorder="1" applyAlignment="1">
      <alignment horizontal="left"/>
    </xf>
    <xf numFmtId="0" fontId="52" fillId="0" borderId="64" xfId="0" applyFont="1" applyBorder="1" applyAlignment="1">
      <alignment horizontal="left"/>
    </xf>
    <xf numFmtId="0" fontId="52" fillId="0" borderId="53" xfId="0" applyFont="1" applyBorder="1" applyAlignment="1">
      <alignment horizontal="left"/>
    </xf>
    <xf numFmtId="0" fontId="52" fillId="0" borderId="62" xfId="0" applyFont="1" applyBorder="1" applyAlignment="1">
      <alignment horizontal="left"/>
    </xf>
    <xf numFmtId="0" fontId="52" fillId="0" borderId="45" xfId="0" applyFont="1" applyBorder="1" applyAlignment="1">
      <alignment horizontal="left"/>
    </xf>
    <xf numFmtId="0" fontId="67" fillId="0" borderId="34" xfId="0" applyFont="1" applyBorder="1" applyAlignment="1">
      <alignment horizontal="left"/>
    </xf>
    <xf numFmtId="0" fontId="67" fillId="0" borderId="33" xfId="0" applyFont="1" applyBorder="1" applyAlignment="1">
      <alignment horizontal="left"/>
    </xf>
    <xf numFmtId="0" fontId="67" fillId="0" borderId="47" xfId="0" applyFont="1" applyBorder="1" applyAlignment="1">
      <alignment horizontal="left"/>
    </xf>
    <xf numFmtId="0" fontId="52" fillId="0" borderId="41" xfId="0" applyFont="1" applyBorder="1" applyAlignment="1">
      <alignment horizontal="left"/>
    </xf>
    <xf numFmtId="0" fontId="52" fillId="0" borderId="33" xfId="0" applyFont="1" applyBorder="1" applyAlignment="1">
      <alignment horizontal="left"/>
    </xf>
    <xf numFmtId="0" fontId="52" fillId="0" borderId="63" xfId="0" applyFont="1" applyBorder="1" applyAlignment="1">
      <alignment horizontal="left"/>
    </xf>
    <xf numFmtId="0" fontId="52" fillId="0" borderId="47" xfId="0" applyFont="1" applyBorder="1" applyAlignment="1">
      <alignment horizontal="left"/>
    </xf>
    <xf numFmtId="0" fontId="71" fillId="25" borderId="10" xfId="0" applyFont="1" applyFill="1" applyBorder="1" applyAlignment="1">
      <alignment horizontal="center"/>
    </xf>
    <xf numFmtId="0" fontId="71" fillId="25" borderId="12" xfId="0" applyFont="1" applyFill="1" applyBorder="1" applyAlignment="1">
      <alignment horizontal="center"/>
    </xf>
    <xf numFmtId="0" fontId="60" fillId="25" borderId="9" xfId="0" applyFont="1" applyFill="1" applyBorder="1" applyAlignment="1">
      <alignment horizontal="center"/>
    </xf>
    <xf numFmtId="0" fontId="59" fillId="25" borderId="9" xfId="0" applyFont="1" applyFill="1" applyBorder="1"/>
    <xf numFmtId="0" fontId="60" fillId="25" borderId="20" xfId="0" applyFont="1" applyFill="1" applyBorder="1" applyAlignment="1">
      <alignment horizontal="center"/>
    </xf>
    <xf numFmtId="0" fontId="60" fillId="25" borderId="21" xfId="0" applyFont="1" applyFill="1" applyBorder="1" applyAlignment="1">
      <alignment horizontal="center"/>
    </xf>
    <xf numFmtId="0" fontId="60" fillId="25" borderId="22" xfId="0" applyFont="1" applyFill="1" applyBorder="1" applyAlignment="1">
      <alignment horizontal="center"/>
    </xf>
    <xf numFmtId="0" fontId="68" fillId="35" borderId="9" xfId="0" applyFont="1" applyFill="1" applyBorder="1" applyAlignment="1">
      <alignment horizontal="left"/>
    </xf>
    <xf numFmtId="0" fontId="3" fillId="2" borderId="31" xfId="0" applyFont="1" applyFill="1" applyBorder="1" applyAlignment="1">
      <alignment horizontal="left"/>
    </xf>
    <xf numFmtId="0" fontId="3" fillId="2" borderId="53" xfId="0" applyFont="1" applyFill="1" applyBorder="1" applyAlignment="1">
      <alignment horizontal="left"/>
    </xf>
    <xf numFmtId="0" fontId="0" fillId="2" borderId="53" xfId="0" applyFill="1" applyBorder="1" applyAlignment="1">
      <alignment horizontal="left"/>
    </xf>
    <xf numFmtId="0" fontId="0" fillId="2" borderId="4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47" xfId="0" applyFill="1" applyBorder="1" applyAlignment="1">
      <alignment horizontal="left"/>
    </xf>
    <xf numFmtId="0" fontId="71" fillId="35" borderId="13" xfId="0" applyFont="1" applyFill="1" applyBorder="1"/>
    <xf numFmtId="0" fontId="71" fillId="25" borderId="13" xfId="0" applyFont="1" applyFill="1" applyBorder="1"/>
    <xf numFmtId="0" fontId="50" fillId="2" borderId="0" xfId="0" applyFont="1" applyFill="1"/>
    <xf numFmtId="0" fontId="74" fillId="2" borderId="9" xfId="0" applyFont="1" applyFill="1" applyBorder="1"/>
    <xf numFmtId="0" fontId="51" fillId="0" borderId="0" xfId="0" applyFont="1"/>
    <xf numFmtId="0" fontId="8" fillId="2" borderId="9" xfId="0" applyFont="1" applyFill="1" applyBorder="1" applyAlignment="1">
      <alignment horizontal="center"/>
    </xf>
    <xf numFmtId="2" fontId="4" fillId="35" borderId="9" xfId="1" applyNumberFormat="1" applyFont="1" applyFill="1" applyBorder="1"/>
    <xf numFmtId="0" fontId="4" fillId="35" borderId="9" xfId="0" applyFont="1" applyFill="1" applyBorder="1"/>
    <xf numFmtId="2" fontId="0" fillId="26" borderId="9" xfId="0" applyNumberFormat="1" applyFill="1" applyBorder="1"/>
    <xf numFmtId="0" fontId="0" fillId="26" borderId="9" xfId="0" applyFill="1" applyBorder="1"/>
    <xf numFmtId="2" fontId="4" fillId="9" borderId="9" xfId="0" applyNumberFormat="1" applyFont="1" applyFill="1" applyBorder="1"/>
    <xf numFmtId="187" fontId="0" fillId="2" borderId="0" xfId="0" applyNumberFormat="1" applyFill="1"/>
  </cellXfs>
  <cellStyles count="10">
    <cellStyle name="Millares" xfId="9" builtinId="3"/>
    <cellStyle name="Millares [0]" xfId="1" builtinId="6"/>
    <cellStyle name="Millares [0] 2" xfId="7" xr:uid="{00000000-0005-0000-0000-000002000000}"/>
    <cellStyle name="Millares [0] 2 2" xfId="8" xr:uid="{00000000-0005-0000-0000-000003000000}"/>
    <cellStyle name="Millares 2" xfId="6" xr:uid="{00000000-0005-0000-0000-000004000000}"/>
    <cellStyle name="Moneda" xfId="3" builtinId="4"/>
    <cellStyle name="Normal" xfId="0" builtinId="0"/>
    <cellStyle name="Normal 2 2" xfId="4" xr:uid="{00000000-0005-0000-0000-000007000000}"/>
    <cellStyle name="Normal_TALLER No 7 MODELOS VT_FCLO" xfId="5" xr:uid="{00000000-0005-0000-0000-000008000000}"/>
    <cellStyle name="Porcentaje" xfId="2" builtinId="5"/>
  </cellStyles>
  <dxfs count="1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6600"/>
      <color rgb="FFEFFE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Financiero'!$H$83:$O$83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'Analisis Financiero'!$H$85:$O$85</c:f>
              <c:numCache>
                <c:formatCode>_-* #,##0_-;\-* #,##0_-;_-* "-"??_-;_-@_-</c:formatCode>
                <c:ptCount val="8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  <c:pt idx="3">
                  <c:v>1484831345.9045</c:v>
                </c:pt>
                <c:pt idx="4">
                  <c:v>1462018397.1060231</c:v>
                </c:pt>
                <c:pt idx="5">
                  <c:v>1461689442.9666741</c:v>
                </c:pt>
                <c:pt idx="6">
                  <c:v>1476013999.5077477</c:v>
                </c:pt>
                <c:pt idx="7">
                  <c:v>1531069321.6893864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8C-4947-9D50-E67DF29A0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070672"/>
        <c:axId val="451071064"/>
      </c:lineChart>
      <c:catAx>
        <c:axId val="45107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71064"/>
        <c:crosses val="autoZero"/>
        <c:auto val="1"/>
        <c:lblAlgn val="ctr"/>
        <c:lblOffset val="100"/>
        <c:noMultiLvlLbl val="0"/>
      </c:catAx>
      <c:valAx>
        <c:axId val="45107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70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Financiero'!$H$38:$O$38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'Analisis Financiero'!$H$54:$O$54</c:f>
              <c:numCache>
                <c:formatCode>_(* #,##0_);_(* \(#,##0\);_(* "-"_);_(@_)</c:formatCode>
                <c:ptCount val="8"/>
                <c:pt idx="0">
                  <c:v>169412000</c:v>
                </c:pt>
                <c:pt idx="1">
                  <c:v>266738000</c:v>
                </c:pt>
                <c:pt idx="2">
                  <c:v>276941073</c:v>
                </c:pt>
                <c:pt idx="3">
                  <c:v>271319169.21810001</c:v>
                </c:pt>
                <c:pt idx="4">
                  <c:v>267150621.50223303</c:v>
                </c:pt>
                <c:pt idx="5">
                  <c:v>267090512.61239502</c:v>
                </c:pt>
                <c:pt idx="6">
                  <c:v>269707999.63599652</c:v>
                </c:pt>
                <c:pt idx="7">
                  <c:v>279768108.02241915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2E-4464-A175-311CB6282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067144"/>
        <c:axId val="451068320"/>
      </c:lineChart>
      <c:catAx>
        <c:axId val="451067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8320"/>
        <c:crosses val="autoZero"/>
        <c:auto val="1"/>
        <c:lblAlgn val="ctr"/>
        <c:lblOffset val="100"/>
        <c:noMultiLvlLbl val="0"/>
      </c:catAx>
      <c:valAx>
        <c:axId val="451068320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7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'Analisis Financiero'!$H$38:$O$38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'Analisis Financiero'!$H$69:$O$69</c:f>
              <c:numCache>
                <c:formatCode>_(* #,##0_);_(* \(#,##0\);_(* "-"_);_(@_)</c:formatCode>
                <c:ptCount val="8"/>
                <c:pt idx="0">
                  <c:v>147913000</c:v>
                </c:pt>
                <c:pt idx="1">
                  <c:v>206724000</c:v>
                </c:pt>
                <c:pt idx="2">
                  <c:v>387150499</c:v>
                </c:pt>
                <c:pt idx="3">
                  <c:v>379291343.87029999</c:v>
                </c:pt>
                <c:pt idx="4">
                  <c:v>373463911.66307664</c:v>
                </c:pt>
                <c:pt idx="5">
                  <c:v>373379882.28295243</c:v>
                </c:pt>
                <c:pt idx="6">
                  <c:v>377039005.12932533</c:v>
                </c:pt>
                <c:pt idx="7">
                  <c:v>391102560.02064914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67-4EC5-8E02-8F306D7812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069888"/>
        <c:axId val="451069104"/>
      </c:lineChart>
      <c:catAx>
        <c:axId val="451069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9104"/>
        <c:crosses val="autoZero"/>
        <c:auto val="1"/>
        <c:lblAlgn val="ctr"/>
        <c:lblOffset val="100"/>
        <c:noMultiLvlLbl val="0"/>
      </c:catAx>
      <c:valAx>
        <c:axId val="45106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9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'Analisis Financiero'!$F$83:$O$83</c15:sqref>
                  </c15:fullRef>
                </c:ext>
              </c:extLst>
              <c:f>'Analisis Financiero'!$H$83:$O$83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'Analisis Financiero'!$F$78:$O$78</c15:sqref>
                  </c15:fullRef>
                </c:ext>
              </c:extLst>
              <c:f>'Analisis Financiero'!$H$78:$O$78</c:f>
              <c:numCache>
                <c:formatCode>General</c:formatCode>
                <c:ptCount val="8"/>
                <c:pt idx="0" formatCode="_(* #,##0_);_(* \(#,##0\);_(* &quot;-&quot;_);_(@_)">
                  <c:v>169412000</c:v>
                </c:pt>
                <c:pt idx="1" formatCode="_(* #,##0_);_(* \(#,##0\);_(* &quot;-&quot;_);_(@_)">
                  <c:v>266738000</c:v>
                </c:pt>
                <c:pt idx="2" formatCode="_(* #,##0_);_(* \(#,##0\);_(* &quot;-&quot;_);_(@_)">
                  <c:v>276941073</c:v>
                </c:pt>
                <c:pt idx="3" formatCode="_(* #,##0_);_(* \(#,##0\);_(* &quot;-&quot;_);_(@_)">
                  <c:v>271319169.21810001</c:v>
                </c:pt>
                <c:pt idx="4" formatCode="_(* #,##0_);_(* \(#,##0\);_(* &quot;-&quot;_);_(@_)">
                  <c:v>267150621.50223303</c:v>
                </c:pt>
                <c:pt idx="5" formatCode="_(* #,##0_);_(* \(#,##0\);_(* &quot;-&quot;_);_(@_)">
                  <c:v>267090512.61239499</c:v>
                </c:pt>
                <c:pt idx="6" formatCode="_(* #,##0_);_(* \(#,##0\);_(* &quot;-&quot;_);_(@_)">
                  <c:v>269707999.63599646</c:v>
                </c:pt>
                <c:pt idx="7" formatCode="_(* #,##0_);_(* \(#,##0\);_(* &quot;-&quot;_);_(@_)">
                  <c:v>279768108.02241915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8E-452A-948D-4593CC262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064400"/>
        <c:axId val="451064008"/>
      </c:lineChart>
      <c:catAx>
        <c:axId val="45106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4008"/>
        <c:crosses val="autoZero"/>
        <c:auto val="1"/>
        <c:lblAlgn val="ctr"/>
        <c:lblOffset val="100"/>
        <c:noMultiLvlLbl val="0"/>
      </c:catAx>
      <c:valAx>
        <c:axId val="451064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Margen EBITDA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Historicas'!$A$131</c:f>
              <c:strCache>
                <c:ptCount val="1"/>
                <c:pt idx="0">
                  <c:v>Ventas</c:v>
                </c:pt>
              </c:strCache>
            </c:strRef>
          </c:tx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shade val="76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1"/>
              <c:layout>
                <c:manualLayout>
                  <c:x val="0"/>
                  <c:y val="4.20888284171396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E63-4CC8-A95E-4BB186140010}"/>
                </c:ext>
              </c:extLst>
            </c:dLbl>
            <c:dLbl>
              <c:idx val="2"/>
              <c:layout>
                <c:manualLayout>
                  <c:x val="-5.3622222222222328E-2"/>
                  <c:y val="6.07949743803128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E63-4CC8-A95E-4BB1861400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Historicas'!$B$130:$D$130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Historicas'!$B$131:$D$131</c:f>
              <c:numCache>
                <c:formatCode>_-* #,##0_-;\-* #,##0_-;_-* "-"??_-;_-@_-</c:formatCode>
                <c:ptCount val="3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63-4CC8-A95E-4BB186140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366239"/>
        <c:axId val="1313923375"/>
      </c:lineChart>
      <c:lineChart>
        <c:grouping val="standard"/>
        <c:varyColors val="0"/>
        <c:ser>
          <c:idx val="1"/>
          <c:order val="1"/>
          <c:tx>
            <c:strRef>
              <c:f>'Cifras Historicas'!$A$137</c:f>
              <c:strCache>
                <c:ptCount val="1"/>
                <c:pt idx="0">
                  <c:v>Margen EBITDA</c:v>
                </c:pt>
              </c:strCache>
            </c:strRef>
          </c:tx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tint val="77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'Cifras Historicas'!$B$137:$D$137</c:f>
              <c:numCache>
                <c:formatCode>0.0%</c:formatCode>
                <c:ptCount val="3"/>
                <c:pt idx="0">
                  <c:v>4.819818992895563E-2</c:v>
                </c:pt>
                <c:pt idx="1">
                  <c:v>-2.7041623753422592E-2</c:v>
                </c:pt>
                <c:pt idx="2">
                  <c:v>-9.0714381624095383E-2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63-4CC8-A95E-4BB186140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0576719"/>
        <c:axId val="1085901871"/>
      </c:lineChart>
      <c:catAx>
        <c:axId val="1389366239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923375"/>
        <c:crosses val="max"/>
        <c:auto val="1"/>
        <c:lblAlgn val="ctr"/>
        <c:lblOffset val="100"/>
        <c:noMultiLvlLbl val="0"/>
      </c:catAx>
      <c:valAx>
        <c:axId val="1313923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89366239"/>
        <c:crosses val="autoZero"/>
        <c:crossBetween val="between"/>
        <c:minorUnit val="20000"/>
      </c:valAx>
      <c:valAx>
        <c:axId val="1085901871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50576719"/>
        <c:crosses val="max"/>
        <c:crossBetween val="between"/>
      </c:valAx>
      <c:catAx>
        <c:axId val="12505767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0859018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Ut. Bruta - Ut. Neta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Historicas'!$A$108</c:f>
              <c:strCache>
                <c:ptCount val="1"/>
                <c:pt idx="0">
                  <c:v>Ventas</c:v>
                </c:pt>
              </c:strCache>
            </c:strRef>
          </c:tx>
          <c:spPr>
            <a:ln w="34925" cap="rnd">
              <a:solidFill>
                <a:schemeClr val="accent2">
                  <a:shade val="58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0.14722222222222223"/>
                  <c:y val="-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B95-4C4B-A192-C013840583E9}"/>
                </c:ext>
              </c:extLst>
            </c:dLbl>
            <c:dLbl>
              <c:idx val="1"/>
              <c:layout>
                <c:manualLayout>
                  <c:x val="-0.19722222222222222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B95-4C4B-A192-C013840583E9}"/>
                </c:ext>
              </c:extLst>
            </c:dLbl>
            <c:dLbl>
              <c:idx val="2"/>
              <c:layout>
                <c:manualLayout>
                  <c:x val="-0.15277777777777787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B95-4C4B-A192-C013840583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Historicas'!$B$156:$D$156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Historicas'!$B$108:$D$108</c:f>
              <c:numCache>
                <c:formatCode>_(* #,##0_);_(* \(#,##0\);_(* "-"_);_(@_)</c:formatCode>
                <c:ptCount val="3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B95-4C4B-A192-C013840583E9}"/>
            </c:ext>
          </c:extLst>
        </c:ser>
        <c:ser>
          <c:idx val="2"/>
          <c:order val="1"/>
          <c:tx>
            <c:v>Utilidad Bruta</c:v>
          </c:tx>
          <c:spPr>
            <a:ln w="34925" cap="rnd">
              <a:solidFill>
                <a:schemeClr val="accent2">
                  <a:tint val="8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7.2194444444444394E-2"/>
                  <c:y val="-3.00579615048118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B95-4C4B-A192-C013840583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'Cifras Historicas'!$H$67:$J$67</c:f>
              <c:numCache>
                <c:formatCode>#,##0</c:formatCode>
                <c:ptCount val="3"/>
                <c:pt idx="0">
                  <c:v>68900000</c:v>
                </c:pt>
                <c:pt idx="1">
                  <c:v>554075000</c:v>
                </c:pt>
                <c:pt idx="2">
                  <c:v>507091925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B95-4C4B-A192-C013840583E9}"/>
            </c:ext>
          </c:extLst>
        </c:ser>
        <c:ser>
          <c:idx val="1"/>
          <c:order val="2"/>
          <c:tx>
            <c:strRef>
              <c:f>'Cifras Historicas'!$A$158</c:f>
              <c:strCache>
                <c:ptCount val="1"/>
                <c:pt idx="0">
                  <c:v>Utilidad Neta</c:v>
                </c:pt>
              </c:strCache>
            </c:strRef>
          </c:tx>
          <c:spPr>
            <a:ln w="34925" cap="rnd">
              <a:solidFill>
                <a:schemeClr val="accent2">
                  <a:shade val="8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4.1666666666666664E-2"/>
                  <c:y val="5.0925925925925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B95-4C4B-A192-C013840583E9}"/>
                </c:ext>
              </c:extLst>
            </c:dLbl>
            <c:dLbl>
              <c:idx val="1"/>
              <c:layout>
                <c:manualLayout>
                  <c:x val="-6.6666666666666666E-2"/>
                  <c:y val="4.6296296296296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B95-4C4B-A192-C013840583E9}"/>
                </c:ext>
              </c:extLst>
            </c:dLbl>
            <c:dLbl>
              <c:idx val="2"/>
              <c:layout>
                <c:manualLayout>
                  <c:x val="-5.2777777777777674E-2"/>
                  <c:y val="3.24074074074073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B95-4C4B-A192-C013840583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Historicas'!$B$156:$D$156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Historicas'!$B$158:$D$158</c:f>
              <c:numCache>
                <c:formatCode>#,##0</c:formatCode>
                <c:ptCount val="3"/>
                <c:pt idx="0">
                  <c:v>6199000</c:v>
                </c:pt>
                <c:pt idx="1">
                  <c:v>-55318000</c:v>
                </c:pt>
                <c:pt idx="2">
                  <c:v>-172418985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B95-4C4B-A192-C01384058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0353231"/>
        <c:axId val="1042147999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'Cifras Historicas'!$A$70:$E$70</c15:sqref>
                        </c15:formulaRef>
                      </c:ext>
                    </c:extLst>
                    <c:strCache>
                      <c:ptCount val="5"/>
                      <c:pt idx="0">
                        <c:v>UTILIDAD OPERACIONAL</c:v>
                      </c:pt>
                    </c:strCache>
                  </c:strRef>
                </c:tx>
                <c:spPr>
                  <a:ln w="34925" cap="rnd">
                    <a:solidFill>
                      <a:schemeClr val="accent2">
                        <a:tint val="58000"/>
                      </a:schemeClr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'Cifras Historicas'!$H$70:$J$70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9780000</c:v>
                      </c:pt>
                      <c:pt idx="1">
                        <c:v>-46543000</c:v>
                      </c:pt>
                      <c:pt idx="2">
                        <c:v>-149915508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EB95-4C4B-A192-C013840583E9}"/>
                  </c:ext>
                </c:extLst>
              </c15:ser>
            </c15:filteredLineSeries>
          </c:ext>
        </c:extLst>
      </c:lineChart>
      <c:catAx>
        <c:axId val="68035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42147999"/>
        <c:crosses val="autoZero"/>
        <c:auto val="1"/>
        <c:lblAlgn val="ctr"/>
        <c:lblOffset val="100"/>
        <c:noMultiLvlLbl val="0"/>
      </c:catAx>
      <c:valAx>
        <c:axId val="1042147999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035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ROA - RAN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3759306169042924E-2"/>
          <c:y val="0.12600144458987828"/>
          <c:w val="0.77368130906076982"/>
          <c:h val="0.7808199577845133"/>
        </c:manualLayout>
      </c:layout>
      <c:lineChart>
        <c:grouping val="standard"/>
        <c:varyColors val="0"/>
        <c:ser>
          <c:idx val="0"/>
          <c:order val="0"/>
          <c:tx>
            <c:strRef>
              <c:f>'Cifras Historicas'!$A$159</c:f>
              <c:strCache>
                <c:ptCount val="1"/>
                <c:pt idx="0">
                  <c:v>ROA</c:v>
                </c:pt>
              </c:strCache>
            </c:strRef>
          </c:tx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7.73055555555556E-2"/>
                  <c:y val="4.36309604649231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4B9-4AD3-956A-D587C0F03AC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Historicas'!$B$190:$D$190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Historicas'!$B$159:$D$159</c:f>
              <c:numCache>
                <c:formatCode>0%</c:formatCode>
                <c:ptCount val="3"/>
                <c:pt idx="0">
                  <c:v>3.659126862323802E-2</c:v>
                </c:pt>
                <c:pt idx="1">
                  <c:v>-0.20738702397108774</c:v>
                </c:pt>
                <c:pt idx="2">
                  <c:v>-0.62258365338246524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B9-4AD3-956A-D587C0F03ACE}"/>
            </c:ext>
          </c:extLst>
        </c:ser>
        <c:ser>
          <c:idx val="1"/>
          <c:order val="1"/>
          <c:tx>
            <c:v>RAN</c:v>
          </c:tx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6.908333333333333E-2"/>
                  <c:y val="-5.85488979701126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4B9-4AD3-956A-D587C0F03ACE}"/>
                </c:ext>
              </c:extLst>
            </c:dLbl>
            <c:dLbl>
              <c:idx val="1"/>
              <c:layout>
                <c:manualLayout>
                  <c:x val="-9.6409886264216968E-2"/>
                  <c:y val="3.54565717901203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4B9-4AD3-956A-D587C0F03ACE}"/>
                </c:ext>
              </c:extLst>
            </c:dLbl>
            <c:dLbl>
              <c:idx val="2"/>
              <c:layout>
                <c:manualLayout>
                  <c:x val="-3.2632108486439299E-2"/>
                  <c:y val="-5.85488979701126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4B9-4AD3-956A-D587C0F03AC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Historicas'!$B$190:$D$190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Historicas'!$B$193:$D$193</c:f>
              <c:numCache>
                <c:formatCode>0%</c:formatCode>
                <c:ptCount val="3"/>
                <c:pt idx="0">
                  <c:v>0.19204466980949009</c:v>
                </c:pt>
                <c:pt idx="1">
                  <c:v>-0.47217922301478504</c:v>
                </c:pt>
                <c:pt idx="2">
                  <c:v>-1.6008568953464497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4B9-4AD3-956A-D587C0F03AC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340207"/>
        <c:axId val="1314571343"/>
      </c:lineChart>
      <c:catAx>
        <c:axId val="869340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4571343"/>
        <c:crosses val="autoZero"/>
        <c:auto val="1"/>
        <c:lblAlgn val="ctr"/>
        <c:lblOffset val="100"/>
        <c:noMultiLvlLbl val="0"/>
      </c:catAx>
      <c:valAx>
        <c:axId val="1314571343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9340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2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-UODI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'Cifras Historicas'!$A$131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Historicas'!$B$136:$D$136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Historicas'!$B$131:$D$131</c:f>
              <c:numCache>
                <c:formatCode>_-* #,##0_-;\-* #,##0_-;_-* "-"??_-;_-@_-</c:formatCode>
                <c:ptCount val="3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97-4E97-94AC-0AF391F3D54E}"/>
            </c:ext>
          </c:extLst>
        </c:ser>
        <c:ser>
          <c:idx val="1"/>
          <c:order val="1"/>
          <c:tx>
            <c:strRef>
              <c:f>'Cifras Historicas'!$A$145</c:f>
              <c:strCache>
                <c:ptCount val="1"/>
                <c:pt idx="0">
                  <c:v>UODI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7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tint val="77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tint val="77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_);[Red]\(&quot;$&quot;#,##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Historicas'!$B$136:$D$136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Historicas'!$B$145:$D$145</c:f>
              <c:numCache>
                <c:formatCode>_-* #,##0.00_-;\-* #,##0.00_-;_-* "-"_-;_-@_-</c:formatCode>
                <c:ptCount val="3"/>
                <c:pt idx="0">
                  <c:v>6460000</c:v>
                </c:pt>
                <c:pt idx="1">
                  <c:v>-46764000</c:v>
                </c:pt>
                <c:pt idx="2">
                  <c:v>-150202508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97-4E97-94AC-0AF391F3D5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312516799"/>
        <c:axId val="872864479"/>
      </c:barChart>
      <c:catAx>
        <c:axId val="1312516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2864479"/>
        <c:crosses val="autoZero"/>
        <c:auto val="1"/>
        <c:lblAlgn val="ctr"/>
        <c:lblOffset val="100"/>
        <c:noMultiLvlLbl val="0"/>
      </c:catAx>
      <c:valAx>
        <c:axId val="87286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251679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Distancia Operacional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5.5342914302077675E-2"/>
          <c:y val="0.16858690842550828"/>
          <c:w val="0.92629802317447252"/>
          <c:h val="0.73403950301280863"/>
        </c:manualLayout>
      </c:layout>
      <c:lineChart>
        <c:grouping val="standard"/>
        <c:varyColors val="0"/>
        <c:ser>
          <c:idx val="0"/>
          <c:order val="0"/>
          <c:tx>
            <c:strRef>
              <c:f>'Cifras Historicas'!$A$164</c:f>
              <c:strCache>
                <c:ptCount val="1"/>
                <c:pt idx="0">
                  <c:v>ROA</c:v>
                </c:pt>
              </c:strCache>
            </c:strRef>
          </c:tx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17C-4E65-9F03-04E5A168490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7C-4E65-9F03-04E5A16849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Historicas'!$B$156:$D$156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Historicas'!$B$164:$D$164</c:f>
              <c:numCache>
                <c:formatCode>0%</c:formatCode>
                <c:ptCount val="3"/>
                <c:pt idx="0">
                  <c:v>-0.26445980291010501</c:v>
                </c:pt>
                <c:pt idx="1">
                  <c:v>-0.26445980291010501</c:v>
                </c:pt>
                <c:pt idx="2">
                  <c:v>-0.26445980291010501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7C-4E65-9F03-04E5A168490F}"/>
            </c:ext>
          </c:extLst>
        </c:ser>
        <c:ser>
          <c:idx val="1"/>
          <c:order val="1"/>
          <c:tx>
            <c:strRef>
              <c:f>'Cifras Historicas'!$A$165</c:f>
              <c:strCache>
                <c:ptCount val="1"/>
                <c:pt idx="0">
                  <c:v>RAN</c:v>
                </c:pt>
              </c:strCache>
            </c:strRef>
          </c:tx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7C-4E65-9F03-04E5A168490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17C-4E65-9F03-04E5A168490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Historicas'!$B$156:$D$156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Historicas'!$B$165:$D$165</c:f>
              <c:numCache>
                <c:formatCode>0%</c:formatCode>
                <c:ptCount val="3"/>
                <c:pt idx="0">
                  <c:v>-0.62699714951724828</c:v>
                </c:pt>
                <c:pt idx="1">
                  <c:v>-0.62699714951724828</c:v>
                </c:pt>
                <c:pt idx="2">
                  <c:v>-0.62699714951724828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17C-4E65-9F03-04E5A1684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6679807"/>
        <c:axId val="1305900799"/>
      </c:lineChart>
      <c:catAx>
        <c:axId val="1606679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05900799"/>
        <c:crosses val="autoZero"/>
        <c:auto val="1"/>
        <c:lblAlgn val="ctr"/>
        <c:lblOffset val="100"/>
        <c:noMultiLvlLbl val="0"/>
      </c:catAx>
      <c:valAx>
        <c:axId val="130590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066798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Ventas, EBITDA, Margen EBITDA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6754243219597551"/>
          <c:y val="0.18300925925925926"/>
          <c:w val="0.59489020122484693"/>
          <c:h val="0.530317512394284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'Cifras Historicas'!$A$108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65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hade val="65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shade val="65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'Cifras Historicas'!$B$90:$D$90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Historicas'!$B$108:$D$108</c:f>
              <c:numCache>
                <c:formatCode>_(* #,##0_);_(* \(#,##0\);_(* "-"_);_(@_)</c:formatCode>
                <c:ptCount val="3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6-407B-83DC-EEEAC0BC5BF3}"/>
            </c:ext>
          </c:extLst>
        </c:ser>
        <c:ser>
          <c:idx val="1"/>
          <c:order val="1"/>
          <c:tx>
            <c:strRef>
              <c:f>'Cifras Historicas'!$A$109</c:f>
              <c:strCache>
                <c:ptCount val="1"/>
                <c:pt idx="0">
                  <c:v>EBITDA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'Cifras Historicas'!$B$90:$D$90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Historicas'!$B$109:$D$109</c:f>
              <c:numCache>
                <c:formatCode>_(* #,##0_);_(* \(#,##0\);_(* "-"_);_(@_)</c:formatCode>
                <c:ptCount val="3"/>
                <c:pt idx="0">
                  <c:v>10502000</c:v>
                </c:pt>
                <c:pt idx="1">
                  <c:v>-34448000</c:v>
                </c:pt>
                <c:pt idx="2">
                  <c:v>-137486534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F6-407B-83DC-EEEAC0BC5B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0606319"/>
        <c:axId val="1085902703"/>
      </c:barChart>
      <c:lineChart>
        <c:grouping val="standard"/>
        <c:varyColors val="0"/>
        <c:ser>
          <c:idx val="2"/>
          <c:order val="2"/>
          <c:tx>
            <c:strRef>
              <c:f>'Cifras Historicas'!$A$110</c:f>
              <c:strCache>
                <c:ptCount val="1"/>
                <c:pt idx="0">
                  <c:v>Margen EBITDA</c:v>
                </c:pt>
              </c:strCache>
            </c:strRef>
          </c:tx>
          <c:spPr>
            <a:ln w="34925" cap="rnd">
              <a:solidFill>
                <a:schemeClr val="accent2">
                  <a:tint val="6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tint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tint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tint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tint val="65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'Cifras Historicas'!$B$110:$D$110</c:f>
              <c:numCache>
                <c:formatCode>0.00%</c:formatCode>
                <c:ptCount val="3"/>
                <c:pt idx="0">
                  <c:v>4.819818992895563E-2</c:v>
                </c:pt>
                <c:pt idx="1">
                  <c:v>-2.7041623753422592E-2</c:v>
                </c:pt>
                <c:pt idx="2">
                  <c:v>-9.0714381624095383E-2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F6-407B-83DC-EEEAC0BC5B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9053887"/>
        <c:axId val="1607222383"/>
      </c:lineChart>
      <c:catAx>
        <c:axId val="1250606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5902703"/>
        <c:crosses val="autoZero"/>
        <c:auto val="1"/>
        <c:lblAlgn val="ctr"/>
        <c:lblOffset val="100"/>
        <c:noMultiLvlLbl val="0"/>
      </c:catAx>
      <c:valAx>
        <c:axId val="108590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50606319"/>
        <c:crosses val="autoZero"/>
        <c:crossBetween val="between"/>
      </c:valAx>
      <c:valAx>
        <c:axId val="1607222383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09053887"/>
        <c:crosses val="max"/>
        <c:crossBetween val="between"/>
      </c:valAx>
      <c:catAx>
        <c:axId val="1609053887"/>
        <c:scaling>
          <c:orientation val="minMax"/>
        </c:scaling>
        <c:delete val="1"/>
        <c:axPos val="b"/>
        <c:majorTickMark val="none"/>
        <c:minorTickMark val="none"/>
        <c:tickLblPos val="nextTo"/>
        <c:crossAx val="1607222383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Componentes KTNO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7296098048603453"/>
          <c:y val="0.12758920183447728"/>
          <c:w val="0.82546702955291618"/>
          <c:h val="0.664051249384974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'Cifras Historicas'!$A$115</c:f>
              <c:strCache>
                <c:ptCount val="1"/>
                <c:pt idx="0">
                  <c:v>Cuentas por cobrar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'Cifras Historicas'!$B$114:$D$114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Historicas'!$B$115:$D$115</c:f>
              <c:numCache>
                <c:formatCode>_(* #,##0_);_(* \(#,##0\);_(* "-"_);_(@_)</c:formatCode>
                <c:ptCount val="3"/>
                <c:pt idx="0">
                  <c:v>135108000</c:v>
                </c:pt>
                <c:pt idx="1">
                  <c:v>179266000</c:v>
                </c:pt>
                <c:pt idx="2">
                  <c:v>123679734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9F-430E-BE74-83370EF01CE0}"/>
            </c:ext>
          </c:extLst>
        </c:ser>
        <c:ser>
          <c:idx val="1"/>
          <c:order val="1"/>
          <c:tx>
            <c:strRef>
              <c:f>'Cifras Historicas'!$A$116</c:f>
              <c:strCache>
                <c:ptCount val="1"/>
                <c:pt idx="0">
                  <c:v>Inventario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'Cifras Historicas'!$B$114:$D$114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Historicas'!$B$116:$D$116</c:f>
              <c:numCache>
                <c:formatCode>_(* #,##0_);_(* \(#,##0\);_(* "-"_);_(@_)</c:formatCode>
                <c:ptCount val="3"/>
                <c:pt idx="0">
                  <c:v>6148000</c:v>
                </c:pt>
                <c:pt idx="1">
                  <c:v>55834000</c:v>
                </c:pt>
                <c:pt idx="2">
                  <c:v>60622200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9F-430E-BE74-83370EF01CE0}"/>
            </c:ext>
          </c:extLst>
        </c:ser>
        <c:ser>
          <c:idx val="2"/>
          <c:order val="2"/>
          <c:tx>
            <c:strRef>
              <c:f>'Cifras Historicas'!$A$120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'Cifras Historicas'!$B$114:$D$114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Historicas'!$B$120:$D$120</c:f>
              <c:numCache>
                <c:formatCode>_(* #,##0_);_(* \(#,##0\);_(* "-"_);_(@_)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919F-430E-BE74-83370EF01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9567887"/>
        <c:axId val="1171149871"/>
      </c:barChart>
      <c:catAx>
        <c:axId val="14095678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71149871"/>
        <c:crosses val="autoZero"/>
        <c:auto val="1"/>
        <c:lblAlgn val="ctr"/>
        <c:lblOffset val="100"/>
        <c:noMultiLvlLbl val="0"/>
      </c:catAx>
      <c:valAx>
        <c:axId val="117114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0956788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'Cifras Historicas'!$A$125</c:f>
              <c:strCache>
                <c:ptCount val="1"/>
                <c:pt idx="0">
                  <c:v>PKT Centavos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Historicas'!$B$130:$D$130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Historicas'!$B$125:$D$125</c:f>
              <c:numCache>
                <c:formatCode>0.0000</c:formatCode>
                <c:ptCount val="3"/>
                <c:pt idx="0">
                  <c:v>2.2983863565436087E-2</c:v>
                </c:pt>
                <c:pt idx="1">
                  <c:v>5.2852370067070262E-2</c:v>
                </c:pt>
                <c:pt idx="2">
                  <c:v>7.680400815523649E-4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EF-4042-9F7F-D45B4F84DA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82823375"/>
        <c:axId val="1171161519"/>
      </c:barChart>
      <c:catAx>
        <c:axId val="12828233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71161519"/>
        <c:crosses val="autoZero"/>
        <c:auto val="1"/>
        <c:lblAlgn val="ctr"/>
        <c:lblOffset val="100"/>
        <c:noMultiLvlLbl val="0"/>
      </c:catAx>
      <c:valAx>
        <c:axId val="1171161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2823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Activos Fijos - 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'Cifras Historicas'!$A$131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Historicas'!$B$122:$D$122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Historicas'!$B$131:$D$131</c:f>
              <c:numCache>
                <c:formatCode>_-* #,##0_-;\-* #,##0_-;_-* "-"??_-;_-@_-</c:formatCode>
                <c:ptCount val="3"/>
                <c:pt idx="0">
                  <c:v>217892000</c:v>
                </c:pt>
                <c:pt idx="1">
                  <c:v>1273888000</c:v>
                </c:pt>
                <c:pt idx="2">
                  <c:v>1515597985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AE-45A8-89E2-B49F897DB083}"/>
            </c:ext>
          </c:extLst>
        </c:ser>
        <c:ser>
          <c:idx val="1"/>
          <c:order val="1"/>
          <c:tx>
            <c:strRef>
              <c:f>'Cifras Historicas'!$A$132</c:f>
              <c:strCache>
                <c:ptCount val="1"/>
                <c:pt idx="0">
                  <c:v>Activos Fijos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7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tint val="77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tint val="77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Historicas'!$B$122:$D$122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Historicas'!$B$132:$D$132</c:f>
              <c:numCache>
                <c:formatCode>_(* #,##0_);_(* \(#,##0\);_(* "-"_);_(@_)</c:formatCode>
                <c:ptCount val="3"/>
                <c:pt idx="0">
                  <c:v>25278000</c:v>
                </c:pt>
                <c:pt idx="1">
                  <c:v>20453000</c:v>
                </c:pt>
                <c:pt idx="2">
                  <c:v>10657046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AE-45A8-89E2-B49F897DB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424463711"/>
        <c:axId val="1456941583"/>
      </c:barChart>
      <c:catAx>
        <c:axId val="142446371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56941583"/>
        <c:crosses val="autoZero"/>
        <c:auto val="1"/>
        <c:lblAlgn val="ctr"/>
        <c:lblOffset val="100"/>
        <c:noMultiLvlLbl val="0"/>
      </c:catAx>
      <c:valAx>
        <c:axId val="145694158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\ 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2446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Historicas'!$A$133</c:f>
              <c:strCache>
                <c:ptCount val="1"/>
                <c:pt idx="0">
                  <c:v>PAF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Historicas'!$B$130:$D$130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Historicas'!$B$133:$D$133</c:f>
              <c:numCache>
                <c:formatCode>_-* #,##0.00_-;\-* #,##0.00_-;_-* "-"_-;_-@_-</c:formatCode>
                <c:ptCount val="3"/>
                <c:pt idx="0">
                  <c:v>8.6198275179998411</c:v>
                </c:pt>
                <c:pt idx="1">
                  <c:v>62.283674766537914</c:v>
                </c:pt>
                <c:pt idx="2">
                  <c:v>142.21558065903065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39-4F7B-94ED-8BECA55D6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0204559"/>
        <c:axId val="1283775807"/>
      </c:lineChart>
      <c:catAx>
        <c:axId val="12802045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3775807"/>
        <c:crosses val="autoZero"/>
        <c:auto val="1"/>
        <c:lblAlgn val="ctr"/>
        <c:lblOffset val="100"/>
        <c:noMultiLvlLbl val="0"/>
      </c:catAx>
      <c:valAx>
        <c:axId val="1283775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.00_-;\-* #,##0.0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02045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2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Historicas'!$A$139</c:f>
              <c:strCache>
                <c:ptCount val="1"/>
                <c:pt idx="0">
                  <c:v>PDC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5.555555555555558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795-446D-BC1F-D3CD90AF40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Historicas'!$B$130:$D$130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Historicas'!$B$139:$D$139</c:f>
              <c:numCache>
                <c:formatCode>0.00</c:formatCode>
                <c:ptCount val="3"/>
                <c:pt idx="0">
                  <c:v>2.0970447284345051</c:v>
                </c:pt>
                <c:pt idx="1">
                  <c:v>-0.51164448669201523</c:v>
                </c:pt>
                <c:pt idx="2">
                  <c:v>-118.11152022267277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95-446D-BC1F-D3CD90AF4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9562959"/>
        <c:axId val="1313737903"/>
      </c:lineChart>
      <c:catAx>
        <c:axId val="1169562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737903"/>
        <c:crosses val="autoZero"/>
        <c:auto val="1"/>
        <c:lblAlgn val="ctr"/>
        <c:lblOffset val="100"/>
        <c:noMultiLvlLbl val="0"/>
      </c:catAx>
      <c:valAx>
        <c:axId val="1313737903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9562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1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Historicas'!$A$151</c:f>
              <c:strCache>
                <c:ptCount val="1"/>
                <c:pt idx="0">
                  <c:v>FLUJO DE CAJA LIBRE (FCL)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3.036111111111111E-2"/>
                  <c:y val="-6.9098133566637505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369-461A-859E-F1E3368538AE}"/>
                </c:ext>
              </c:extLst>
            </c:dLbl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'Cifras Historicas'!$B$142:$D$142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'Cifras Historicas'!$B$151:$D$151</c:f>
              <c:numCache>
                <c:formatCode>_-* #,##0.00_-;\-* #,##0.00_-;_-* "-"_-;_-@_-</c:formatCode>
                <c:ptCount val="3"/>
                <c:pt idx="0">
                  <c:v>7182000</c:v>
                </c:pt>
                <c:pt idx="1">
                  <c:v>-92164000</c:v>
                </c:pt>
                <c:pt idx="2">
                  <c:v>-61813620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69-461A-859E-F1E3368538A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80201759"/>
        <c:axId val="1283777055"/>
      </c:lineChart>
      <c:catAx>
        <c:axId val="128020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3777055"/>
        <c:crosses val="autoZero"/>
        <c:auto val="1"/>
        <c:lblAlgn val="ctr"/>
        <c:lblOffset val="100"/>
        <c:noMultiLvlLbl val="0"/>
      </c:catAx>
      <c:valAx>
        <c:axId val="1283777055"/>
        <c:scaling>
          <c:orientation val="minMax"/>
        </c:scaling>
        <c:delete val="0"/>
        <c:axPos val="l"/>
        <c:numFmt formatCode="&quot;$&quot;\ 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0201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Concentración de endeudamiento 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01-47FE-BB9D-9C3F68FC352B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01-47FE-BB9D-9C3F68FC352B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901-47FE-BB9D-9C3F68FC352B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901-47FE-BB9D-9C3F68FC35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'Cifras Historicas'!$A$218:$A$219</c:f>
              <c:strCache>
                <c:ptCount val="2"/>
                <c:pt idx="0">
                  <c:v>Concentracion de Endeudamiento a Corto Plazo</c:v>
                </c:pt>
                <c:pt idx="1">
                  <c:v>Concentracion de Endeudamiento a Largo Plazo</c:v>
                </c:pt>
              </c:strCache>
            </c:strRef>
          </c:cat>
          <c:val>
            <c:numRef>
              <c:f>'Cifras Historicas'!$C$218:$C$219</c:f>
              <c:numCache>
                <c:formatCode>0.00%</c:formatCode>
                <c:ptCount val="2"/>
                <c:pt idx="0">
                  <c:v>0.90325264604013078</c:v>
                </c:pt>
                <c:pt idx="1">
                  <c:v>9.6747353959869192E-2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01-47FE-BB9D-9C3F68FC3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Concentración de endeudamiento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'Cifras Historicas'!$D$218:$D$219</c:f>
              <c:strCache>
                <c:ptCount val="2"/>
                <c:pt idx="0">
                  <c:v>65.13%</c:v>
                </c:pt>
                <c:pt idx="1">
                  <c:v>34.87%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hade val="76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hade val="76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shade val="76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0C4-435E-AEDF-78C485BFBEF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7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tint val="7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tint val="7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0C4-435E-AEDF-78C485BFBEF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'Cifras Historicas'!$A$218:$A$219</c:f>
              <c:strCache>
                <c:ptCount val="2"/>
                <c:pt idx="0">
                  <c:v>Concentracion de Endeudamiento a Corto Plazo</c:v>
                </c:pt>
                <c:pt idx="1">
                  <c:v>Concentracion de Endeudamiento a Largo Plazo</c:v>
                </c:pt>
              </c:strCache>
            </c:strRef>
          </c:cat>
          <c:val>
            <c:numRef>
              <c:f>'[1]Razones Financieras'!$G$23:$G$24</c:f>
              <c:numCache>
                <c:formatCode>General</c:formatCode>
                <c:ptCount val="2"/>
                <c:pt idx="0">
                  <c:v>0.94956925707820894</c:v>
                </c:pt>
                <c:pt idx="1">
                  <c:v>5.0430742921791075E-2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0C4-435E-AEDF-78C485BFBE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Reducción de Costos en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'Estrategias Operativas'!$E$11:$I$11</c:f>
              <c:numCache>
                <c:formatCode>0.00%</c:formatCode>
                <c:ptCount val="5"/>
                <c:pt idx="0">
                  <c:v>0.03</c:v>
                </c:pt>
                <c:pt idx="1">
                  <c:v>3.5000000000000003E-2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38-4F6D-93E8-91EEBDA20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065968"/>
        <c:axId val="451066360"/>
      </c:lineChart>
      <c:catAx>
        <c:axId val="451065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6360"/>
        <c:crosses val="autoZero"/>
        <c:auto val="1"/>
        <c:lblAlgn val="ctr"/>
        <c:lblOffset val="100"/>
        <c:noMultiLvlLbl val="0"/>
      </c:catAx>
      <c:valAx>
        <c:axId val="45106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51065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Administrativos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'Estrategias Operativas'!$E$16:$I$16</c:f>
              <c:numCache>
                <c:formatCode>0.00%</c:formatCode>
                <c:ptCount val="5"/>
                <c:pt idx="0">
                  <c:v>2.5000000000000001E-2</c:v>
                </c:pt>
                <c:pt idx="1">
                  <c:v>3.1E-2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1C-4662-9FFF-C6508467A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6064"/>
        <c:axId val="449942144"/>
      </c:lineChart>
      <c:catAx>
        <c:axId val="44994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2144"/>
        <c:crosses val="autoZero"/>
        <c:auto val="1"/>
        <c:lblAlgn val="ctr"/>
        <c:lblOffset val="100"/>
        <c:noMultiLvlLbl val="0"/>
      </c:catAx>
      <c:valAx>
        <c:axId val="449942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6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sz="1200"/>
              <a:t>Reducción de Gastos</a:t>
            </a:r>
            <a:r>
              <a:rPr lang="es-CO" sz="1200" baseline="0"/>
              <a:t> Ventas</a:t>
            </a:r>
            <a:endParaRPr lang="es-CO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'Estrategias Operativas'!$E$21:$I$21</c:f>
              <c:numCache>
                <c:formatCode>0.00%</c:formatCode>
                <c:ptCount val="5"/>
                <c:pt idx="0">
                  <c:v>1.15E-2</c:v>
                </c:pt>
                <c:pt idx="1">
                  <c:v>1.15E-2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6-40D2-B210-6C5EFC2B2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4888"/>
        <c:axId val="449946456"/>
      </c:lineChart>
      <c:catAx>
        <c:axId val="44994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6456"/>
        <c:crosses val="autoZero"/>
        <c:auto val="1"/>
        <c:lblAlgn val="ctr"/>
        <c:lblOffset val="100"/>
        <c:noMultiLvlLbl val="0"/>
      </c:catAx>
      <c:valAx>
        <c:axId val="44994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Incremento</a:t>
            </a:r>
            <a:r>
              <a:rPr lang="es-CO" baseline="0"/>
              <a:t> en Ventas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'Estrategias Operativas'!$A$32:$D$32</c:f>
              <c:strCache>
                <c:ptCount val="4"/>
                <c:pt idx="0">
                  <c:v>Gradiente Crecimiento Valoración Natural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'Estrategias Operativas'!$E$31:$I$31</c:f>
              <c:strCache>
                <c:ptCount val="5"/>
                <c:pt idx="0">
                  <c:v>Añ0 1</c:v>
                </c:pt>
                <c:pt idx="1">
                  <c:v>Año 2</c:v>
                </c:pt>
                <c:pt idx="2">
                  <c:v>Añ0 3</c:v>
                </c:pt>
                <c:pt idx="3">
                  <c:v>Año 4</c:v>
                </c:pt>
                <c:pt idx="4">
                  <c:v>Añ0 5</c:v>
                </c:pt>
              </c:strCache>
            </c:strRef>
          </c:cat>
          <c:val>
            <c:numRef>
              <c:f>'Estrategias Operativas'!$E$32:$I$32</c:f>
              <c:numCache>
                <c:formatCode>0.00%</c:formatCode>
                <c:ptCount val="5"/>
                <c:pt idx="0">
                  <c:v>-2.0299999999999985E-2</c:v>
                </c:pt>
                <c:pt idx="1">
                  <c:v>-1.5364000000000155E-2</c:v>
                </c:pt>
                <c:pt idx="2">
                  <c:v>-2.2500000000014175E-4</c:v>
                </c:pt>
                <c:pt idx="3">
                  <c:v>9.8000000000000309E-3</c:v>
                </c:pt>
                <c:pt idx="4">
                  <c:v>3.7299999999999889E-2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30-465A-99B1-40B89F501B64}"/>
            </c:ext>
          </c:extLst>
        </c:ser>
        <c:ser>
          <c:idx val="1"/>
          <c:order val="1"/>
          <c:tx>
            <c:strRef>
              <c:f>'Estrategias Operativas'!$A$35:$D$35</c:f>
              <c:strCache>
                <c:ptCount val="4"/>
                <c:pt idx="0">
                  <c:v>INCREMENTO GRADIENTE DE CRECIMIENTO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'Estrategias Operativas'!$E$31:$I$31</c:f>
              <c:strCache>
                <c:ptCount val="5"/>
                <c:pt idx="0">
                  <c:v>Añ0 1</c:v>
                </c:pt>
                <c:pt idx="1">
                  <c:v>Año 2</c:v>
                </c:pt>
                <c:pt idx="2">
                  <c:v>Añ0 3</c:v>
                </c:pt>
                <c:pt idx="3">
                  <c:v>Año 4</c:v>
                </c:pt>
                <c:pt idx="4">
                  <c:v>Añ0 5</c:v>
                </c:pt>
              </c:strCache>
            </c:strRef>
          </c:cat>
          <c:val>
            <c:numRef>
              <c:f>'Estrategias Operativas'!$E$35:$I$35</c:f>
              <c:numCache>
                <c:formatCode>0.0%</c:formatCode>
                <c:ptCount val="5"/>
                <c:pt idx="0">
                  <c:v>-2.0299999999999985E-2</c:v>
                </c:pt>
                <c:pt idx="1">
                  <c:v>-1.5364000000000155E-2</c:v>
                </c:pt>
                <c:pt idx="2">
                  <c:v>-2.2500000000014175E-4</c:v>
                </c:pt>
                <c:pt idx="3">
                  <c:v>2.9996000000000134E-2</c:v>
                </c:pt>
                <c:pt idx="4">
                  <c:v>6.3232499999999803E-2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30-465A-99B1-40B89F501B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8024"/>
        <c:axId val="449946848"/>
      </c:lineChart>
      <c:catAx>
        <c:axId val="449948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6848"/>
        <c:crosses val="autoZero"/>
        <c:auto val="1"/>
        <c:lblAlgn val="ctr"/>
        <c:lblOffset val="100"/>
        <c:noMultiLvlLbl val="0"/>
      </c:catAx>
      <c:valAx>
        <c:axId val="44994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8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3771371940104124"/>
          <c:y val="0.17821793074069472"/>
          <c:w val="0.81898785236173532"/>
          <c:h val="0.71719448339516145"/>
        </c:manualLayout>
      </c:layout>
      <c:lineChart>
        <c:grouping val="standard"/>
        <c:varyColors val="0"/>
        <c:ser>
          <c:idx val="2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Estrategia'!$F$83:$O$83</c:f>
              <c:numCache>
                <c:formatCode>General</c:formatCode>
                <c:ptCount val="10"/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Estrategia'!$F$85:$O$85</c:f>
              <c:numCache>
                <c:formatCode>General</c:formatCode>
                <c:ptCount val="10"/>
                <c:pt idx="2" formatCode="_-* #,##0_-;\-* #,##0_-;_-* &quot;-&quot;??_-;_-@_-">
                  <c:v>217892000</c:v>
                </c:pt>
                <c:pt idx="3" formatCode="_-* #,##0_-;\-* #,##0_-;_-* &quot;-&quot;??_-;_-@_-">
                  <c:v>1273888000</c:v>
                </c:pt>
                <c:pt idx="4" formatCode="_-* #,##0_-;\-* #,##0_-;_-* &quot;-&quot;??_-;_-@_-">
                  <c:v>1515597985</c:v>
                </c:pt>
                <c:pt idx="5" formatCode="_-* #,##0_-;\-* #,##0_-;_-* &quot;-&quot;??_-;_-@_-">
                  <c:v>1484831345.9045</c:v>
                </c:pt>
                <c:pt idx="6" formatCode="_-* #,##0_-;\-* #,##0_-;_-* &quot;-&quot;??_-;_-@_-">
                  <c:v>1462018397.1060231</c:v>
                </c:pt>
                <c:pt idx="7" formatCode="_-* #,##0_-;\-* #,##0_-;_-* &quot;-&quot;??_-;_-@_-">
                  <c:v>1461689442.9666741</c:v>
                </c:pt>
                <c:pt idx="8" formatCode="_-* #,##0_-;\-* #,##0_-;_-* &quot;-&quot;??_-;_-@_-">
                  <c:v>1505534279.4979026</c:v>
                </c:pt>
                <c:pt idx="9" formatCode="_-* #,##0_-;\-* #,##0_-;_-* &quot;-&quot;??_-;_-@_-">
                  <c:v>1600732975.8262534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B-43E7-8B96-CAA3B5CA9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5280"/>
        <c:axId val="449945672"/>
      </c:lineChart>
      <c:catAx>
        <c:axId val="44994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5672"/>
        <c:crosses val="autoZero"/>
        <c:auto val="1"/>
        <c:lblAlgn val="ctr"/>
        <c:lblOffset val="100"/>
        <c:noMultiLvlLbl val="0"/>
      </c:catAx>
      <c:valAx>
        <c:axId val="449945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5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Activo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Estrategia'!$F$38:$O$38</c:f>
              <c:numCache>
                <c:formatCode>General</c:formatCode>
                <c:ptCount val="10"/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Estrategia'!$F$54:$O$54</c:f>
              <c:numCache>
                <c:formatCode>General</c:formatCode>
                <c:ptCount val="10"/>
                <c:pt idx="2" formatCode="_(* #,##0_);_(* \(#,##0\);_(* &quot;-&quot;_);_(@_)">
                  <c:v>169412000</c:v>
                </c:pt>
                <c:pt idx="3" formatCode="_(* #,##0_);_(* \(#,##0\);_(* &quot;-&quot;_);_(@_)">
                  <c:v>266738000</c:v>
                </c:pt>
                <c:pt idx="4" formatCode="_(* #,##0_);_(* \(#,##0\);_(* &quot;-&quot;_);_(@_)">
                  <c:v>276941073</c:v>
                </c:pt>
                <c:pt idx="5" formatCode="_(* #,##0_);_(* \(#,##0\);_(* &quot;-&quot;_);_(@_)">
                  <c:v>386319169.21810001</c:v>
                </c:pt>
                <c:pt idx="6" formatCode="_(* #,##0_);_(* \(#,##0\);_(* &quot;-&quot;_);_(@_)">
                  <c:v>380383761.50223309</c:v>
                </c:pt>
                <c:pt idx="7" formatCode="_(* #,##0_);_(* \(#,##0\);_(* &quot;-&quot;_);_(@_)">
                  <c:v>380298175.15589499</c:v>
                </c:pt>
                <c:pt idx="8" formatCode="_(* #,##0_);_(* \(#,##0\);_(* &quot;-&quot;_);_(@_)">
                  <c:v>391705599.21787131</c:v>
                </c:pt>
                <c:pt idx="9" formatCode="_(* #,##0_);_(* \(#,##0\);_(* &quot;-&quot;_);_(@_)">
                  <c:v>416474123.52041531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A-4FD5-92BD-853412B33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8416"/>
        <c:axId val="449948808"/>
      </c:lineChart>
      <c:catAx>
        <c:axId val="44994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8808"/>
        <c:crosses val="autoZero"/>
        <c:auto val="1"/>
        <c:lblAlgn val="ctr"/>
        <c:lblOffset val="100"/>
        <c:noMultiLvlLbl val="0"/>
      </c:catAx>
      <c:valAx>
        <c:axId val="449948808"/>
        <c:scaling>
          <c:orientation val="minMax"/>
          <c:min val="60000000.000000007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8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Pasivo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Estrategia'!$F$38:$O$38</c:f>
              <c:numCache>
                <c:formatCode>General</c:formatCode>
                <c:ptCount val="10"/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Estrategia'!$F$69:$O$69</c:f>
              <c:numCache>
                <c:formatCode>_(* #,##0_);_(* \(#,##0\);_(* "-"_);_(@_)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147913000</c:v>
                </c:pt>
                <c:pt idx="3">
                  <c:v>206724000</c:v>
                </c:pt>
                <c:pt idx="4">
                  <c:v>387150499</c:v>
                </c:pt>
                <c:pt idx="5">
                  <c:v>247031843.87029999</c:v>
                </c:pt>
                <c:pt idx="6">
                  <c:v>243236446.62107667</c:v>
                </c:pt>
                <c:pt idx="7">
                  <c:v>243181718.42058688</c:v>
                </c:pt>
                <c:pt idx="8">
                  <c:v>250476197.24633083</c:v>
                </c:pt>
                <c:pt idx="9">
                  <c:v>266314433.3887094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AE-4F8D-A748-1BE54BCBA4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1752"/>
        <c:axId val="449942536"/>
      </c:lineChart>
      <c:catAx>
        <c:axId val="449941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2536"/>
        <c:crosses val="autoZero"/>
        <c:auto val="1"/>
        <c:lblAlgn val="ctr"/>
        <c:lblOffset val="100"/>
        <c:noMultiLvlLbl val="0"/>
      </c:catAx>
      <c:valAx>
        <c:axId val="449942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1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'Estados Finan + Estrategia'!$F$83:$O$83</c:f>
              <c:numCache>
                <c:formatCode>General</c:formatCode>
                <c:ptCount val="10"/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'Estados Finan + Estrategia'!$F$78:$O$78</c:f>
              <c:numCache>
                <c:formatCode>General</c:formatCode>
                <c:ptCount val="10"/>
                <c:pt idx="2" formatCode="_(* #,##0_);_(* \(#,##0\);_(* &quot;-&quot;_);_(@_)">
                  <c:v>169412000</c:v>
                </c:pt>
                <c:pt idx="3" formatCode="_(* #,##0_);_(* \(#,##0\);_(* &quot;-&quot;_);_(@_)">
                  <c:v>266738000</c:v>
                </c:pt>
                <c:pt idx="4" formatCode="_(* #,##0_);_(* \(#,##0\);_(* &quot;-&quot;_);_(@_)">
                  <c:v>276941073</c:v>
                </c:pt>
                <c:pt idx="5" formatCode="_(* #,##0_);_(* \(#,##0\);_(* &quot;-&quot;_);_(@_)">
                  <c:v>386319169.21810001</c:v>
                </c:pt>
                <c:pt idx="6" formatCode="_(* #,##0_);_(* \(#,##0\);_(* &quot;-&quot;_);_(@_)">
                  <c:v>380383761.50223303</c:v>
                </c:pt>
                <c:pt idx="7" formatCode="_(* #,##0_);_(* \(#,##0\);_(* &quot;-&quot;_);_(@_)">
                  <c:v>380298175.15589499</c:v>
                </c:pt>
                <c:pt idx="8" formatCode="_(* #,##0_);_(* \(#,##0\);_(* &quot;-&quot;_);_(@_)">
                  <c:v>391705599.21787125</c:v>
                </c:pt>
                <c:pt idx="9" formatCode="_(* #,##0_);_(* \(#,##0\);_(* &quot;-&quot;_);_(@_)">
                  <c:v>416474123.52041519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A8-4D4F-BF72-EB84D5BE5C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9943712"/>
        <c:axId val="309869472"/>
      </c:lineChart>
      <c:catAx>
        <c:axId val="449943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09869472"/>
        <c:crosses val="autoZero"/>
        <c:auto val="1"/>
        <c:lblAlgn val="ctr"/>
        <c:lblOffset val="100"/>
        <c:noMultiLvlLbl val="0"/>
      </c:catAx>
      <c:valAx>
        <c:axId val="30986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994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 Ut. Bruta - Ut. Neta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'Estados Finan + Estrategia'!$A$131</c:f>
              <c:strCache>
                <c:ptCount val="1"/>
                <c:pt idx="0">
                  <c:v>Ventas</c:v>
                </c:pt>
              </c:strCache>
            </c:strRef>
          </c:tx>
          <c:spPr>
            <a:ln w="34925" cap="rnd">
              <a:solidFill>
                <a:schemeClr val="accent2">
                  <a:shade val="58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Estrategia'!$K$85:$O$85</c:f>
              <c:numCache>
                <c:formatCode>_-* #,##0_-;\-* #,##0_-;_-* "-"??_-;_-@_-</c:formatCode>
                <c:ptCount val="5"/>
                <c:pt idx="0">
                  <c:v>1484831345.9045</c:v>
                </c:pt>
                <c:pt idx="1">
                  <c:v>1462018397.1060231</c:v>
                </c:pt>
                <c:pt idx="2">
                  <c:v>1461689442.9666741</c:v>
                </c:pt>
                <c:pt idx="3">
                  <c:v>1505534279.4979026</c:v>
                </c:pt>
                <c:pt idx="4">
                  <c:v>1600732975.8262534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1B-4546-B687-200E795247F4}"/>
            </c:ext>
          </c:extLst>
        </c:ser>
        <c:ser>
          <c:idx val="2"/>
          <c:order val="1"/>
          <c:tx>
            <c:v>Utilidad Bruta</c:v>
          </c:tx>
          <c:spPr>
            <a:ln w="34925" cap="rnd">
              <a:solidFill>
                <a:schemeClr val="accent2">
                  <a:tint val="8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Estrategia'!$K$87:$O$87</c:f>
              <c:numCache>
                <c:formatCode>#,##0</c:formatCode>
                <c:ptCount val="5"/>
                <c:pt idx="0">
                  <c:v>565804634.85133314</c:v>
                </c:pt>
                <c:pt idx="1">
                  <c:v>589762888.17679596</c:v>
                </c:pt>
                <c:pt idx="2">
                  <c:v>589630191.5269562</c:v>
                </c:pt>
                <c:pt idx="3">
                  <c:v>607316738.7519989</c:v>
                </c:pt>
                <c:pt idx="4">
                  <c:v>645718894.43513453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31B-4546-B687-200E795247F4}"/>
            </c:ext>
          </c:extLst>
        </c:ser>
        <c:ser>
          <c:idx val="1"/>
          <c:order val="2"/>
          <c:tx>
            <c:strRef>
              <c:f>'Estados Finan + Estrategia'!$A$98:$G$98</c:f>
              <c:strCache>
                <c:ptCount val="7"/>
                <c:pt idx="0">
                  <c:v>UTILIDAD NETA</c:v>
                </c:pt>
              </c:strCache>
            </c:strRef>
          </c:tx>
          <c:spPr>
            <a:ln w="34925" cap="rnd">
              <a:solidFill>
                <a:schemeClr val="accent2">
                  <a:shade val="8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'Estados Finan + Estrategia'!$B$113:$F$113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Estrategia'!$K$98:$O$98</c:f>
              <c:numCache>
                <c:formatCode>#,##0</c:formatCode>
                <c:ptCount val="5"/>
                <c:pt idx="0">
                  <c:v>2868750.0372439073</c:v>
                </c:pt>
                <c:pt idx="1">
                  <c:v>34735779.675346404</c:v>
                </c:pt>
                <c:pt idx="2">
                  <c:v>34727964.124919511</c:v>
                </c:pt>
                <c:pt idx="3">
                  <c:v>35769664.136810623</c:v>
                </c:pt>
                <c:pt idx="4">
                  <c:v>38031469.42434147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31B-4546-B687-200E79524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0353231"/>
        <c:axId val="1042147999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'Cifras Historicas'!$A$70:$E$70</c15:sqref>
                        </c15:formulaRef>
                      </c:ext>
                    </c:extLst>
                    <c:strCache>
                      <c:ptCount val="5"/>
                      <c:pt idx="0">
                        <c:v>UTILIDAD OPERACIONAL</c:v>
                      </c:pt>
                    </c:strCache>
                  </c:strRef>
                </c:tx>
                <c:spPr>
                  <a:ln w="34925" cap="rnd">
                    <a:solidFill>
                      <a:schemeClr val="accent2">
                        <a:tint val="58000"/>
                      </a:schemeClr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'Estados Finan + Estrategia'!$B$113:$F$113</c15:sqref>
                        </c15:formulaRef>
                      </c:ext>
                    </c:extLst>
                    <c:strCache>
                      <c:ptCount val="5"/>
                      <c:pt idx="0">
                        <c:v>Año 1</c:v>
                      </c:pt>
                      <c:pt idx="1">
                        <c:v>Año 2</c:v>
                      </c:pt>
                      <c:pt idx="2">
                        <c:v>Año 3</c:v>
                      </c:pt>
                      <c:pt idx="3">
                        <c:v>Año 4</c:v>
                      </c:pt>
                      <c:pt idx="4">
                        <c:v>Año 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'Cifras Historicas'!$H$70:$J$70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>
                        <c:v>9780000</c:v>
                      </c:pt>
                      <c:pt idx="1">
                        <c:v>-46543000</c:v>
                      </c:pt>
                      <c:pt idx="2">
                        <c:v>-149915508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A31B-4546-B687-200E795247F4}"/>
                  </c:ext>
                </c:extLst>
              </c15:ser>
            </c15:filteredLineSeries>
          </c:ext>
        </c:extLst>
      </c:lineChart>
      <c:catAx>
        <c:axId val="68035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42147999"/>
        <c:crosses val="autoZero"/>
        <c:auto val="1"/>
        <c:lblAlgn val="ctr"/>
        <c:lblOffset val="100"/>
        <c:noMultiLvlLbl val="0"/>
      </c:catAx>
      <c:valAx>
        <c:axId val="1042147999"/>
        <c:scaling>
          <c:orientation val="minMax"/>
        </c:scaling>
        <c:delete val="0"/>
        <c:axPos val="l"/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035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ROA - RAN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3759306169042924E-2"/>
          <c:y val="0.12600144458987828"/>
          <c:w val="0.77368130906076982"/>
          <c:h val="0.7808199577845133"/>
        </c:manualLayout>
      </c:layout>
      <c:lineChart>
        <c:grouping val="standard"/>
        <c:varyColors val="0"/>
        <c:ser>
          <c:idx val="0"/>
          <c:order val="0"/>
          <c:tx>
            <c:strRef>
              <c:f>'Cifras Historicas'!$A$159</c:f>
              <c:strCache>
                <c:ptCount val="1"/>
                <c:pt idx="0">
                  <c:v>ROA</c:v>
                </c:pt>
              </c:strCache>
            </c:strRef>
          </c:tx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Estrategia'!$B$179:$F$179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Estrategia'!$B$187:$F$187</c:f>
              <c:numCache>
                <c:formatCode>0%</c:formatCode>
                <c:ptCount val="5"/>
                <c:pt idx="0">
                  <c:v>7.4539350840414492E-2</c:v>
                </c:pt>
                <c:pt idx="1">
                  <c:v>7.4539350840414492E-2</c:v>
                </c:pt>
                <c:pt idx="2">
                  <c:v>7.4539350840414492E-2</c:v>
                </c:pt>
                <c:pt idx="3">
                  <c:v>7.4539350840414492E-2</c:v>
                </c:pt>
                <c:pt idx="4">
                  <c:v>7.4539350840414492E-2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1B-4D97-BA34-40DB2A9242EF}"/>
            </c:ext>
          </c:extLst>
        </c:ser>
        <c:ser>
          <c:idx val="1"/>
          <c:order val="1"/>
          <c:tx>
            <c:v>RAN</c:v>
          </c:tx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Estrategia'!$B$179:$F$179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Estrategia'!$B$188:$F$188</c:f>
              <c:numCache>
                <c:formatCode>0%</c:formatCode>
                <c:ptCount val="5"/>
                <c:pt idx="0">
                  <c:v>0.11297192910702696</c:v>
                </c:pt>
                <c:pt idx="1">
                  <c:v>0.11297192910702696</c:v>
                </c:pt>
                <c:pt idx="2">
                  <c:v>0.11297192910702696</c:v>
                </c:pt>
                <c:pt idx="3">
                  <c:v>0.11297192910702696</c:v>
                </c:pt>
                <c:pt idx="4">
                  <c:v>0.11297192910702696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51B-4D97-BA34-40DB2A9242E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340207"/>
        <c:axId val="1314571343"/>
      </c:lineChart>
      <c:catAx>
        <c:axId val="869340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4571343"/>
        <c:crosses val="autoZero"/>
        <c:auto val="1"/>
        <c:lblAlgn val="ctr"/>
        <c:lblOffset val="100"/>
        <c:noMultiLvlLbl val="0"/>
      </c:catAx>
      <c:valAx>
        <c:axId val="1314571343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9340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2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Ventas -UODI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'Estados Finan + Estrategia'!$A$146</c:f>
              <c:strCache>
                <c:ptCount val="1"/>
                <c:pt idx="0">
                  <c:v>Ventas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'Estados Finan + Estrategia'!$B$137:$F$137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Estrategia'!$B$146:$F$146</c:f>
              <c:numCache>
                <c:formatCode>_-* #,##0_-;\-* #,##0_-;_-* "-"??_-;_-@_-</c:formatCode>
                <c:ptCount val="5"/>
                <c:pt idx="0">
                  <c:v>1484831345.9045</c:v>
                </c:pt>
                <c:pt idx="1">
                  <c:v>1462018397.1060231</c:v>
                </c:pt>
                <c:pt idx="2">
                  <c:v>1461689442.9666741</c:v>
                </c:pt>
                <c:pt idx="3">
                  <c:v>1505534279.4979026</c:v>
                </c:pt>
                <c:pt idx="4">
                  <c:v>1600732975.8262534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9D-4DED-820E-6C1FA2937336}"/>
            </c:ext>
          </c:extLst>
        </c:ser>
        <c:ser>
          <c:idx val="1"/>
          <c:order val="1"/>
          <c:tx>
            <c:strRef>
              <c:f>'Estados Finan + Estrategia'!$A$168</c:f>
              <c:strCache>
                <c:ptCount val="1"/>
                <c:pt idx="0">
                  <c:v>UODI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7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tint val="77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tint val="77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'Estados Finan + Estrategia'!$B$137:$F$137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Estrategia'!$B$168:$F$168</c:f>
              <c:numCache>
                <c:formatCode>_-* #,##0.00_-;\-* #,##0.00_-;_-* "-"_-;_-@_-</c:formatCode>
                <c:ptCount val="5"/>
                <c:pt idx="0">
                  <c:v>-5224091.4776844289</c:v>
                </c:pt>
                <c:pt idx="1">
                  <c:v>26767276.577453431</c:v>
                </c:pt>
                <c:pt idx="2">
                  <c:v>26761253.94022356</c:v>
                </c:pt>
                <c:pt idx="3">
                  <c:v>27563984.513414532</c:v>
                </c:pt>
                <c:pt idx="4">
                  <c:v>29306924.164158981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9D-4DED-820E-6C1FA2937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312516799"/>
        <c:axId val="872864479"/>
      </c:barChart>
      <c:catAx>
        <c:axId val="1312516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2864479"/>
        <c:crosses val="autoZero"/>
        <c:auto val="1"/>
        <c:lblAlgn val="ctr"/>
        <c:lblOffset val="100"/>
        <c:noMultiLvlLbl val="0"/>
      </c:catAx>
      <c:valAx>
        <c:axId val="87286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251679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Historicas'!$A$139</c:f>
              <c:strCache>
                <c:ptCount val="1"/>
                <c:pt idx="0">
                  <c:v>PDC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Estrategia'!$B$159:$F$159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Estrategia'!$B$162:$F$162</c:f>
              <c:numCache>
                <c:formatCode>0.00</c:formatCode>
                <c:ptCount val="5"/>
                <c:pt idx="0">
                  <c:v>4.0373196251212402</c:v>
                </c:pt>
                <c:pt idx="1">
                  <c:v>46.568522327737362</c:v>
                </c:pt>
                <c:pt idx="2">
                  <c:v>46.570208936679641</c:v>
                </c:pt>
                <c:pt idx="3">
                  <c:v>47.682573361835324</c:v>
                </c:pt>
                <c:pt idx="4">
                  <c:v>46.822320858836861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95-4AEA-8484-633B5CFA49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9562959"/>
        <c:axId val="1313737903"/>
      </c:lineChart>
      <c:catAx>
        <c:axId val="1169562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3737903"/>
        <c:crosses val="autoZero"/>
        <c:auto val="1"/>
        <c:lblAlgn val="ctr"/>
        <c:lblOffset val="100"/>
        <c:noMultiLvlLbl val="0"/>
      </c:catAx>
      <c:valAx>
        <c:axId val="1313737903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69562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1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'Cifras Historicas'!$A$151</c:f>
              <c:strCache>
                <c:ptCount val="1"/>
                <c:pt idx="0">
                  <c:v>FLUJO DE CAJA LIBRE (FCL)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'Estados Finan + Estrategia'!$B$179:$F$179</c:f>
              <c:strCache>
                <c:ptCount val="5"/>
                <c:pt idx="0">
                  <c:v>Año 1</c:v>
                </c:pt>
                <c:pt idx="1">
                  <c:v>Año 2</c:v>
                </c:pt>
                <c:pt idx="2">
                  <c:v>Año 3</c:v>
                </c:pt>
                <c:pt idx="3">
                  <c:v>Año 4</c:v>
                </c:pt>
                <c:pt idx="4">
                  <c:v>Año 5</c:v>
                </c:pt>
              </c:strCache>
            </c:strRef>
          </c:cat>
          <c:val>
            <c:numRef>
              <c:f>'Estados Finan + Estrategia'!$B$174:$F$174</c:f>
              <c:numCache>
                <c:formatCode>_-* #,##0.00_-;\-* #,##0.00_-;_-* "-"_-;_-@_-</c:formatCode>
                <c:ptCount val="5"/>
                <c:pt idx="0">
                  <c:v>3191233.1889822381</c:v>
                </c:pt>
                <c:pt idx="1">
                  <c:v>37127393.54036846</c:v>
                </c:pt>
                <c:pt idx="2">
                  <c:v>35204621.780163266</c:v>
                </c:pt>
                <c:pt idx="3">
                  <c:v>33780224.072004102</c:v>
                </c:pt>
                <c:pt idx="4">
                  <c:v>30717071.182453111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D0-464A-90FC-4A37D89D89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280201759"/>
        <c:axId val="1283777055"/>
      </c:lineChart>
      <c:catAx>
        <c:axId val="128020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3777055"/>
        <c:crosses val="autoZero"/>
        <c:auto val="1"/>
        <c:lblAlgn val="ctr"/>
        <c:lblOffset val="100"/>
        <c:noMultiLvlLbl val="0"/>
      </c:catAx>
      <c:valAx>
        <c:axId val="1283777055"/>
        <c:scaling>
          <c:orientation val="minMax"/>
        </c:scaling>
        <c:delete val="0"/>
        <c:axPos val="l"/>
        <c:numFmt formatCode="&quot;$&quot;\ 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80201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SPRINGATE INDEX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Springate!$C$19:$L$19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Springate!$C$37:$L$37</c:f>
              <c:numCache>
                <c:formatCode>0.00</c:formatCode>
                <c:ptCount val="8"/>
                <c:pt idx="0">
                  <c:v>0.86199999999999999</c:v>
                </c:pt>
                <c:pt idx="1">
                  <c:v>0.86199999999999999</c:v>
                </c:pt>
                <c:pt idx="2">
                  <c:v>0.86199999999999999</c:v>
                </c:pt>
                <c:pt idx="3">
                  <c:v>0.86199999999999999</c:v>
                </c:pt>
                <c:pt idx="4">
                  <c:v>0.86199999999999999</c:v>
                </c:pt>
                <c:pt idx="5">
                  <c:v>0.86199999999999999</c:v>
                </c:pt>
                <c:pt idx="6">
                  <c:v>0.86199999999999999</c:v>
                </c:pt>
                <c:pt idx="7">
                  <c:v>0.86199999999999999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98-4074-ACA5-DDFB0D2B2295}"/>
            </c:ext>
          </c:extLst>
        </c:ser>
        <c:ser>
          <c:idx val="1"/>
          <c:order val="1"/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Springate!$C$19:$L$19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Springate!$C$38:$L$38</c:f>
              <c:numCache>
                <c:formatCode>0.00</c:formatCode>
                <c:ptCount val="8"/>
                <c:pt idx="0">
                  <c:v>0.74329635274797956</c:v>
                </c:pt>
                <c:pt idx="1">
                  <c:v>1.4712055978473093</c:v>
                </c:pt>
                <c:pt idx="2">
                  <c:v>0.33271417042503248</c:v>
                </c:pt>
                <c:pt idx="3">
                  <c:v>1.6197972835654775</c:v>
                </c:pt>
                <c:pt idx="4">
                  <c:v>2.1334329938199188</c:v>
                </c:pt>
                <c:pt idx="5">
                  <c:v>2.1334329938199201</c:v>
                </c:pt>
                <c:pt idx="6">
                  <c:v>2.1334329938199206</c:v>
                </c:pt>
                <c:pt idx="7">
                  <c:v>2.1334329938199197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598-4074-ACA5-DDFB0D2B2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4123600"/>
        <c:axId val="414128304"/>
      </c:lineChart>
      <c:catAx>
        <c:axId val="41412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4128304"/>
        <c:crosses val="autoZero"/>
        <c:auto val="1"/>
        <c:lblAlgn val="ctr"/>
        <c:lblOffset val="100"/>
        <c:noMultiLvlLbl val="0"/>
      </c:catAx>
      <c:valAx>
        <c:axId val="41412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4123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SPRINGATE INDEX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2">
                  <a:shade val="76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Springate!$C$19:$G$19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Springate!$C$37:$G$37</c:f>
              <c:numCache>
                <c:formatCode>0.00</c:formatCode>
                <c:ptCount val="3"/>
                <c:pt idx="0">
                  <c:v>0.86199999999999999</c:v>
                </c:pt>
                <c:pt idx="1">
                  <c:v>0.86199999999999999</c:v>
                </c:pt>
                <c:pt idx="2">
                  <c:v>0.86199999999999999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90-432D-AA8F-C50C9ECE7444}"/>
            </c:ext>
          </c:extLst>
        </c:ser>
        <c:ser>
          <c:idx val="1"/>
          <c:order val="1"/>
          <c:spPr>
            <a:ln w="34925" cap="rnd">
              <a:solidFill>
                <a:schemeClr val="accent2">
                  <a:tint val="77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Springate!$C$19:$G$19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Springate!$C$38:$G$38</c:f>
              <c:numCache>
                <c:formatCode>0.00</c:formatCode>
                <c:ptCount val="3"/>
                <c:pt idx="0">
                  <c:v>0.74329635274797956</c:v>
                </c:pt>
                <c:pt idx="1">
                  <c:v>1.4712055978473093</c:v>
                </c:pt>
                <c:pt idx="2">
                  <c:v>0.33271417042503248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D90-432D-AA8F-C50C9ECE74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4123600"/>
        <c:axId val="414128304"/>
      </c:lineChart>
      <c:catAx>
        <c:axId val="41412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4128304"/>
        <c:crosses val="autoZero"/>
        <c:auto val="1"/>
        <c:lblAlgn val="ctr"/>
        <c:lblOffset val="100"/>
        <c:noMultiLvlLbl val="0"/>
      </c:catAx>
      <c:valAx>
        <c:axId val="41412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4123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ALMAN</a:t>
            </a:r>
            <a:r>
              <a:rPr lang="es-CO" baseline="0"/>
              <a:t> INDEX - MANUFACTURA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2">
                  <a:shade val="58000"/>
                </a:schemeClr>
              </a:solidFill>
            </a:ln>
            <a:effectLst>
              <a:glow rad="139700">
                <a:schemeClr val="accent2">
                  <a:shade val="58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'Indicador Altman Manufactura'!$C$28:$E$28</c:f>
              <c:numCache>
                <c:formatCode>_(* #,##0.00_);_(* \(#,##0.00\);_(*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9F-4493-AC18-03179B0AFACE}"/>
            </c:ext>
          </c:extLst>
        </c:ser>
        <c:ser>
          <c:idx val="1"/>
          <c:order val="1"/>
          <c:spPr>
            <a:ln w="22225" cap="rnd">
              <a:solidFill>
                <a:schemeClr val="accent2">
                  <a:shade val="86000"/>
                </a:schemeClr>
              </a:solidFill>
            </a:ln>
            <a:effectLst>
              <a:glow rad="139700">
                <a:schemeClr val="accent2">
                  <a:shade val="86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val>
            <c:numRef>
              <c:f>'Indicador Altman Manufactura'!$C$29:$E$29</c:f>
              <c:numCache>
                <c:formatCode>0.00</c:formatCode>
                <c:ptCount val="3"/>
                <c:pt idx="0">
                  <c:v>1.81</c:v>
                </c:pt>
                <c:pt idx="1">
                  <c:v>1.81</c:v>
                </c:pt>
                <c:pt idx="2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9F-4493-AC18-03179B0AFACE}"/>
            </c:ext>
          </c:extLst>
        </c:ser>
        <c:ser>
          <c:idx val="2"/>
          <c:order val="2"/>
          <c:spPr>
            <a:ln w="22225" cap="rnd">
              <a:solidFill>
                <a:schemeClr val="accent2">
                  <a:tint val="86000"/>
                </a:schemeClr>
              </a:solidFill>
            </a:ln>
            <a:effectLst>
              <a:glow rad="139700">
                <a:schemeClr val="accent2">
                  <a:tint val="86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val>
            <c:numRef>
              <c:f>'Indicador Altman Manufactura'!$C$30:$E$30</c:f>
              <c:numCache>
                <c:formatCode>0.00</c:formatCode>
                <c:ptCount val="3"/>
                <c:pt idx="0">
                  <c:v>2.99</c:v>
                </c:pt>
                <c:pt idx="1">
                  <c:v>2.99</c:v>
                </c:pt>
                <c:pt idx="2">
                  <c:v>2.99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9F-4493-AC18-03179B0AFACE}"/>
            </c:ext>
          </c:extLst>
        </c:ser>
        <c:ser>
          <c:idx val="3"/>
          <c:order val="3"/>
          <c:spPr>
            <a:ln w="22225" cap="rnd">
              <a:solidFill>
                <a:schemeClr val="accent2">
                  <a:tint val="58000"/>
                </a:schemeClr>
              </a:solidFill>
            </a:ln>
            <a:effectLst>
              <a:glow rad="139700">
                <a:schemeClr val="accent2">
                  <a:tint val="58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Lbl>
              <c:idx val="0"/>
              <c:layout>
                <c:manualLayout>
                  <c:x val="-6.7061076790857072E-2"/>
                  <c:y val="-9.2592592592592587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19F-4493-AC18-03179B0AFACE}"/>
                </c:ext>
              </c:extLst>
            </c:dLbl>
            <c:dLbl>
              <c:idx val="1"/>
              <c:layout>
                <c:manualLayout>
                  <c:x val="-5.8109669540358157E-2"/>
                  <c:y val="-2.31481481481481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19F-4493-AC18-03179B0AFACE}"/>
                </c:ext>
              </c:extLst>
            </c:dLbl>
            <c:dLbl>
              <c:idx val="2"/>
              <c:layout>
                <c:manualLayout>
                  <c:x val="-5.214206470669222E-2"/>
                  <c:y val="-4.16666666666666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19F-4493-AC18-03179B0AFAC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'Indicador Altman Manufactura'!$C$31:$E$31</c:f>
              <c:numCache>
                <c:formatCode>0.00</c:formatCode>
                <c:ptCount val="3"/>
                <c:pt idx="0">
                  <c:v>2.5991270648584006</c:v>
                </c:pt>
                <c:pt idx="1">
                  <c:v>5.7302468746979427</c:v>
                </c:pt>
                <c:pt idx="2">
                  <c:v>5.0361498866591603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19F-4493-AC18-03179B0AFAC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79152063"/>
        <c:axId val="703468623"/>
      </c:lineChart>
      <c:catAx>
        <c:axId val="47915206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703468623"/>
        <c:crosses val="autoZero"/>
        <c:auto val="1"/>
        <c:lblAlgn val="ctr"/>
        <c:lblOffset val="100"/>
        <c:noMultiLvlLbl val="0"/>
      </c:catAx>
      <c:valAx>
        <c:axId val="703468623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79152063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6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7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9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0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5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6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7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9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0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8.xml"/><Relationship Id="rId5" Type="http://schemas.openxmlformats.org/officeDocument/2006/relationships/chart" Target="../charts/chart27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3.xml"/><Relationship Id="rId1" Type="http://schemas.openxmlformats.org/officeDocument/2006/relationships/chart" Target="../charts/chart3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514351</xdr:colOff>
      <xdr:row>1</xdr:row>
      <xdr:rowOff>180975</xdr:rowOff>
    </xdr:from>
    <xdr:to>
      <xdr:col>15</xdr:col>
      <xdr:colOff>323851</xdr:colOff>
      <xdr:row>4</xdr:row>
      <xdr:rowOff>142874</xdr:rowOff>
    </xdr:to>
    <xdr:sp macro="" textlink="">
      <xdr:nvSpPr>
        <xdr:cNvPr id="2" name="Forma lib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7984693">
          <a:off x="12182476" y="352425"/>
          <a:ext cx="533399" cy="571500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561975</xdr:colOff>
      <xdr:row>0</xdr:row>
      <xdr:rowOff>161927</xdr:rowOff>
    </xdr:from>
    <xdr:to>
      <xdr:col>15</xdr:col>
      <xdr:colOff>476250</xdr:colOff>
      <xdr:row>3</xdr:row>
      <xdr:rowOff>95250</xdr:rowOff>
    </xdr:to>
    <xdr:cxnSp macro="">
      <xdr:nvCxnSpPr>
        <xdr:cNvPr id="6" name="Conector angula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2211050" y="161927"/>
          <a:ext cx="676275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1</xdr:row>
      <xdr:rowOff>142876</xdr:rowOff>
    </xdr:from>
    <xdr:to>
      <xdr:col>15</xdr:col>
      <xdr:colOff>666750</xdr:colOff>
      <xdr:row>4</xdr:row>
      <xdr:rowOff>66675</xdr:rowOff>
    </xdr:to>
    <xdr:cxnSp macro="">
      <xdr:nvCxnSpPr>
        <xdr:cNvPr id="7" name="Conector angula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2334875" y="333376"/>
          <a:ext cx="742950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349251</xdr:colOff>
      <xdr:row>82</xdr:row>
      <xdr:rowOff>10584</xdr:rowOff>
    </xdr:from>
    <xdr:to>
      <xdr:col>18</xdr:col>
      <xdr:colOff>666750</xdr:colOff>
      <xdr:row>96</xdr:row>
      <xdr:rowOff>2117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830790</xdr:colOff>
      <xdr:row>81</xdr:row>
      <xdr:rowOff>199760</xdr:rowOff>
    </xdr:from>
    <xdr:to>
      <xdr:col>23</xdr:col>
      <xdr:colOff>1238250</xdr:colOff>
      <xdr:row>95</xdr:row>
      <xdr:rowOff>191294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1416844</xdr:colOff>
      <xdr:row>82</xdr:row>
      <xdr:rowOff>0</xdr:rowOff>
    </xdr:from>
    <xdr:to>
      <xdr:col>28</xdr:col>
      <xdr:colOff>326760</xdr:colOff>
      <xdr:row>95</xdr:row>
      <xdr:rowOff>182033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485510</xdr:colOff>
      <xdr:row>82</xdr:row>
      <xdr:rowOff>0</xdr:rowOff>
    </xdr:from>
    <xdr:to>
      <xdr:col>34</xdr:col>
      <xdr:colOff>478896</xdr:colOff>
      <xdr:row>95</xdr:row>
      <xdr:rowOff>182033</xdr:rowOff>
    </xdr:to>
    <xdr:graphicFrame macro="">
      <xdr:nvGraphicFramePr>
        <xdr:cNvPr id="21" name="Gráfico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665427</xdr:colOff>
      <xdr:row>84</xdr:row>
      <xdr:rowOff>96572</xdr:rowOff>
    </xdr:from>
    <xdr:to>
      <xdr:col>31</xdr:col>
      <xdr:colOff>665427</xdr:colOff>
      <xdr:row>94</xdr:row>
      <xdr:rowOff>107156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 flipV="1">
          <a:off x="31466896" y="17574947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25</xdr:col>
      <xdr:colOff>823119</xdr:colOff>
      <xdr:row>84</xdr:row>
      <xdr:rowOff>86253</xdr:rowOff>
    </xdr:from>
    <xdr:to>
      <xdr:col>25</xdr:col>
      <xdr:colOff>823119</xdr:colOff>
      <xdr:row>94</xdr:row>
      <xdr:rowOff>96837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V="1">
          <a:off x="26731119" y="17564628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352425</xdr:colOff>
      <xdr:row>84</xdr:row>
      <xdr:rowOff>67997</xdr:rowOff>
    </xdr:from>
    <xdr:to>
      <xdr:col>21</xdr:col>
      <xdr:colOff>352425</xdr:colOff>
      <xdr:row>94</xdr:row>
      <xdr:rowOff>78581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V="1">
          <a:off x="21676519" y="17546372"/>
          <a:ext cx="0" cy="202274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171451</xdr:colOff>
      <xdr:row>84</xdr:row>
      <xdr:rowOff>86783</xdr:rowOff>
    </xdr:from>
    <xdr:to>
      <xdr:col>17</xdr:col>
      <xdr:colOff>171451</xdr:colOff>
      <xdr:row>94</xdr:row>
      <xdr:rowOff>97367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 flipV="1">
          <a:off x="16554451" y="44494450"/>
          <a:ext cx="0" cy="1989667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175260</xdr:colOff>
          <xdr:row>70</xdr:row>
          <xdr:rowOff>60960</xdr:rowOff>
        </xdr:from>
        <xdr:to>
          <xdr:col>15</xdr:col>
          <xdr:colOff>198120</xdr:colOff>
          <xdr:row>70</xdr:row>
          <xdr:rowOff>68580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1323589</xdr:colOff>
      <xdr:row>165</xdr:row>
      <xdr:rowOff>169524</xdr:rowOff>
    </xdr:from>
    <xdr:to>
      <xdr:col>18</xdr:col>
      <xdr:colOff>1551708</xdr:colOff>
      <xdr:row>186</xdr:row>
      <xdr:rowOff>166254</xdr:rowOff>
    </xdr:to>
    <xdr:graphicFrame macro="">
      <xdr:nvGraphicFramePr>
        <xdr:cNvPr id="15" name="Gráfico 1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55419</xdr:colOff>
      <xdr:row>120</xdr:row>
      <xdr:rowOff>55419</xdr:rowOff>
    </xdr:from>
    <xdr:to>
      <xdr:col>13</xdr:col>
      <xdr:colOff>138546</xdr:colOff>
      <xdr:row>142</xdr:row>
      <xdr:rowOff>69273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1343891</xdr:colOff>
      <xdr:row>120</xdr:row>
      <xdr:rowOff>55418</xdr:rowOff>
    </xdr:from>
    <xdr:to>
      <xdr:col>18</xdr:col>
      <xdr:colOff>1524000</xdr:colOff>
      <xdr:row>142</xdr:row>
      <xdr:rowOff>69272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42334</xdr:colOff>
      <xdr:row>144</xdr:row>
      <xdr:rowOff>13854</xdr:rowOff>
    </xdr:from>
    <xdr:to>
      <xdr:col>13</xdr:col>
      <xdr:colOff>138546</xdr:colOff>
      <xdr:row>163</xdr:row>
      <xdr:rowOff>166255</xdr:rowOff>
    </xdr:to>
    <xdr:graphicFrame macro="">
      <xdr:nvGraphicFramePr>
        <xdr:cNvPr id="18" name="Gráfico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1340715</xdr:colOff>
      <xdr:row>144</xdr:row>
      <xdr:rowOff>41563</xdr:rowOff>
    </xdr:from>
    <xdr:to>
      <xdr:col>18</xdr:col>
      <xdr:colOff>1537854</xdr:colOff>
      <xdr:row>163</xdr:row>
      <xdr:rowOff>124692</xdr:rowOff>
    </xdr:to>
    <xdr:graphicFrame macro="">
      <xdr:nvGraphicFramePr>
        <xdr:cNvPr id="25" name="Gráfico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896792</xdr:colOff>
      <xdr:row>166</xdr:row>
      <xdr:rowOff>103525</xdr:rowOff>
    </xdr:from>
    <xdr:to>
      <xdr:col>13</xdr:col>
      <xdr:colOff>166255</xdr:colOff>
      <xdr:row>186</xdr:row>
      <xdr:rowOff>152400</xdr:rowOff>
    </xdr:to>
    <xdr:graphicFrame macro="">
      <xdr:nvGraphicFramePr>
        <xdr:cNvPr id="26" name="Gráfic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853440</xdr:colOff>
      <xdr:row>189</xdr:row>
      <xdr:rowOff>83127</xdr:rowOff>
    </xdr:from>
    <xdr:to>
      <xdr:col>13</xdr:col>
      <xdr:colOff>166254</xdr:colOff>
      <xdr:row>210</xdr:row>
      <xdr:rowOff>13853</xdr:rowOff>
    </xdr:to>
    <xdr:graphicFrame macro="">
      <xdr:nvGraphicFramePr>
        <xdr:cNvPr id="27" name="Gráfico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13</xdr:col>
      <xdr:colOff>1341120</xdr:colOff>
      <xdr:row>189</xdr:row>
      <xdr:rowOff>152400</xdr:rowOff>
    </xdr:from>
    <xdr:to>
      <xdr:col>19</xdr:col>
      <xdr:colOff>91440</xdr:colOff>
      <xdr:row>210</xdr:row>
      <xdr:rowOff>60960</xdr:rowOff>
    </xdr:to>
    <xdr:graphicFrame macro="">
      <xdr:nvGraphicFramePr>
        <xdr:cNvPr id="28" name="Gráfico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776393</xdr:colOff>
      <xdr:row>213</xdr:row>
      <xdr:rowOff>30480</xdr:rowOff>
    </xdr:from>
    <xdr:to>
      <xdr:col>13</xdr:col>
      <xdr:colOff>182880</xdr:colOff>
      <xdr:row>235</xdr:row>
      <xdr:rowOff>152400</xdr:rowOff>
    </xdr:to>
    <xdr:graphicFrame macro="">
      <xdr:nvGraphicFramePr>
        <xdr:cNvPr id="29" name="Gráfico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1249680</xdr:colOff>
      <xdr:row>213</xdr:row>
      <xdr:rowOff>112299</xdr:rowOff>
    </xdr:from>
    <xdr:to>
      <xdr:col>19</xdr:col>
      <xdr:colOff>182881</xdr:colOff>
      <xdr:row>236</xdr:row>
      <xdr:rowOff>30480</xdr:rowOff>
    </xdr:to>
    <xdr:graphicFrame macro="">
      <xdr:nvGraphicFramePr>
        <xdr:cNvPr id="30" name="Gráfic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786976</xdr:colOff>
      <xdr:row>239</xdr:row>
      <xdr:rowOff>121920</xdr:rowOff>
    </xdr:from>
    <xdr:to>
      <xdr:col>13</xdr:col>
      <xdr:colOff>335280</xdr:colOff>
      <xdr:row>262</xdr:row>
      <xdr:rowOff>60960</xdr:rowOff>
    </xdr:to>
    <xdr:graphicFrame macro="">
      <xdr:nvGraphicFramePr>
        <xdr:cNvPr id="31" name="Gráfico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13</xdr:col>
      <xdr:colOff>1188721</xdr:colOff>
      <xdr:row>239</xdr:row>
      <xdr:rowOff>91440</xdr:rowOff>
    </xdr:from>
    <xdr:to>
      <xdr:col>19</xdr:col>
      <xdr:colOff>335281</xdr:colOff>
      <xdr:row>262</xdr:row>
      <xdr:rowOff>30480</xdr:rowOff>
    </xdr:to>
    <xdr:graphicFrame macro="">
      <xdr:nvGraphicFramePr>
        <xdr:cNvPr id="32" name="Gráfic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715434</xdr:colOff>
      <xdr:row>275</xdr:row>
      <xdr:rowOff>50184</xdr:rowOff>
    </xdr:from>
    <xdr:to>
      <xdr:col>13</xdr:col>
      <xdr:colOff>304800</xdr:colOff>
      <xdr:row>296</xdr:row>
      <xdr:rowOff>30480</xdr:rowOff>
    </xdr:to>
    <xdr:graphicFrame macro="">
      <xdr:nvGraphicFramePr>
        <xdr:cNvPr id="33" name="Gráfico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13</xdr:col>
      <xdr:colOff>1219200</xdr:colOff>
      <xdr:row>274</xdr:row>
      <xdr:rowOff>121920</xdr:rowOff>
    </xdr:from>
    <xdr:to>
      <xdr:col>19</xdr:col>
      <xdr:colOff>335280</xdr:colOff>
      <xdr:row>295</xdr:row>
      <xdr:rowOff>152400</xdr:rowOff>
    </xdr:to>
    <xdr:graphicFrame macro="">
      <xdr:nvGraphicFramePr>
        <xdr:cNvPr id="34" name="Gráfico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206375</xdr:colOff>
      <xdr:row>52</xdr:row>
      <xdr:rowOff>103188</xdr:rowOff>
    </xdr:from>
    <xdr:to>
      <xdr:col>18</xdr:col>
      <xdr:colOff>190500</xdr:colOff>
      <xdr:row>52</xdr:row>
      <xdr:rowOff>111126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13692188" y="10818813"/>
          <a:ext cx="3857625" cy="7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428625</xdr:colOff>
      <xdr:row>50</xdr:row>
      <xdr:rowOff>71437</xdr:rowOff>
    </xdr:from>
    <xdr:to>
      <xdr:col>13</xdr:col>
      <xdr:colOff>428625</xdr:colOff>
      <xdr:row>52</xdr:row>
      <xdr:rowOff>111126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3914438" y="10398125"/>
          <a:ext cx="0" cy="4286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642937</xdr:colOff>
      <xdr:row>49</xdr:row>
      <xdr:rowOff>134938</xdr:rowOff>
    </xdr:from>
    <xdr:to>
      <xdr:col>13</xdr:col>
      <xdr:colOff>652463</xdr:colOff>
      <xdr:row>52</xdr:row>
      <xdr:rowOff>112714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 flipH="1" flipV="1">
          <a:off x="14128750" y="10263188"/>
          <a:ext cx="9526" cy="5651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</xdr:colOff>
      <xdr:row>50</xdr:row>
      <xdr:rowOff>79375</xdr:rowOff>
    </xdr:from>
    <xdr:to>
      <xdr:col>14</xdr:col>
      <xdr:colOff>66676</xdr:colOff>
      <xdr:row>52</xdr:row>
      <xdr:rowOff>122240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H="1" flipV="1">
          <a:off x="14374813" y="10406063"/>
          <a:ext cx="3176" cy="4318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322263</xdr:colOff>
      <xdr:row>49</xdr:row>
      <xdr:rowOff>7938</xdr:rowOff>
    </xdr:from>
    <xdr:to>
      <xdr:col>14</xdr:col>
      <xdr:colOff>325437</xdr:colOff>
      <xdr:row>52</xdr:row>
      <xdr:rowOff>115890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V="1">
          <a:off x="14633576" y="10136188"/>
          <a:ext cx="3174" cy="6953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601663</xdr:colOff>
      <xdr:row>49</xdr:row>
      <xdr:rowOff>119063</xdr:rowOff>
    </xdr:from>
    <xdr:to>
      <xdr:col>14</xdr:col>
      <xdr:colOff>603250</xdr:colOff>
      <xdr:row>52</xdr:row>
      <xdr:rowOff>117478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flipV="1">
          <a:off x="14912976" y="10247313"/>
          <a:ext cx="1587" cy="5857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150813</xdr:colOff>
      <xdr:row>49</xdr:row>
      <xdr:rowOff>112713</xdr:rowOff>
    </xdr:from>
    <xdr:to>
      <xdr:col>15</xdr:col>
      <xdr:colOff>152400</xdr:colOff>
      <xdr:row>52</xdr:row>
      <xdr:rowOff>111128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V="1">
          <a:off x="15224126" y="10240963"/>
          <a:ext cx="1587" cy="5857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404812</xdr:colOff>
      <xdr:row>49</xdr:row>
      <xdr:rowOff>39688</xdr:rowOff>
    </xdr:from>
    <xdr:to>
      <xdr:col>15</xdr:col>
      <xdr:colOff>406401</xdr:colOff>
      <xdr:row>52</xdr:row>
      <xdr:rowOff>112716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 flipV="1">
          <a:off x="15478125" y="10167938"/>
          <a:ext cx="1589" cy="66040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677865</xdr:colOff>
      <xdr:row>48</xdr:row>
      <xdr:rowOff>127000</xdr:rowOff>
    </xdr:from>
    <xdr:to>
      <xdr:col>15</xdr:col>
      <xdr:colOff>682625</xdr:colOff>
      <xdr:row>52</xdr:row>
      <xdr:rowOff>114305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V="1">
          <a:off x="15751178" y="10064750"/>
          <a:ext cx="4760" cy="7651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195265</xdr:colOff>
      <xdr:row>48</xdr:row>
      <xdr:rowOff>47625</xdr:rowOff>
    </xdr:from>
    <xdr:to>
      <xdr:col>16</xdr:col>
      <xdr:colOff>198437</xdr:colOff>
      <xdr:row>52</xdr:row>
      <xdr:rowOff>100018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V="1">
          <a:off x="16030578" y="9985375"/>
          <a:ext cx="3172" cy="830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450853</xdr:colOff>
      <xdr:row>47</xdr:row>
      <xdr:rowOff>150813</xdr:rowOff>
    </xdr:from>
    <xdr:to>
      <xdr:col>16</xdr:col>
      <xdr:colOff>452437</xdr:colOff>
      <xdr:row>52</xdr:row>
      <xdr:rowOff>109543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V="1">
          <a:off x="16286166" y="9898063"/>
          <a:ext cx="1584" cy="9271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682628</xdr:colOff>
      <xdr:row>48</xdr:row>
      <xdr:rowOff>63500</xdr:rowOff>
    </xdr:from>
    <xdr:to>
      <xdr:col>18</xdr:col>
      <xdr:colOff>166687</xdr:colOff>
      <xdr:row>50</xdr:row>
      <xdr:rowOff>95259</xdr:rowOff>
    </xdr:to>
    <xdr:cxnSp macro="">
      <xdr:nvCxnSpPr>
        <xdr:cNvPr id="25" name="Conector recto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V="1">
          <a:off x="16517941" y="10001250"/>
          <a:ext cx="1008059" cy="4206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309562</xdr:colOff>
      <xdr:row>52</xdr:row>
      <xdr:rowOff>134937</xdr:rowOff>
    </xdr:from>
    <xdr:to>
      <xdr:col>13</xdr:col>
      <xdr:colOff>507999</xdr:colOff>
      <xdr:row>53</xdr:row>
      <xdr:rowOff>142874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3795375" y="10850562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</a:t>
          </a:r>
        </a:p>
      </xdr:txBody>
    </xdr:sp>
    <xdr:clientData/>
  </xdr:twoCellAnchor>
  <xdr:twoCellAnchor>
    <xdr:from>
      <xdr:col>13</xdr:col>
      <xdr:colOff>541337</xdr:colOff>
      <xdr:row>52</xdr:row>
      <xdr:rowOff>144462</xdr:rowOff>
    </xdr:from>
    <xdr:to>
      <xdr:col>13</xdr:col>
      <xdr:colOff>739774</xdr:colOff>
      <xdr:row>53</xdr:row>
      <xdr:rowOff>152399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4027150" y="10860087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2</a:t>
          </a:r>
        </a:p>
      </xdr:txBody>
    </xdr:sp>
    <xdr:clientData/>
  </xdr:twoCellAnchor>
  <xdr:twoCellAnchor>
    <xdr:from>
      <xdr:col>13</xdr:col>
      <xdr:colOff>773112</xdr:colOff>
      <xdr:row>52</xdr:row>
      <xdr:rowOff>138112</xdr:rowOff>
    </xdr:from>
    <xdr:to>
      <xdr:col>14</xdr:col>
      <xdr:colOff>146049</xdr:colOff>
      <xdr:row>53</xdr:row>
      <xdr:rowOff>146049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4258925" y="10853737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3</a:t>
          </a:r>
        </a:p>
      </xdr:txBody>
    </xdr:sp>
    <xdr:clientData/>
  </xdr:twoCellAnchor>
  <xdr:twoCellAnchor>
    <xdr:from>
      <xdr:col>14</xdr:col>
      <xdr:colOff>203199</xdr:colOff>
      <xdr:row>52</xdr:row>
      <xdr:rowOff>155574</xdr:rowOff>
    </xdr:from>
    <xdr:to>
      <xdr:col>14</xdr:col>
      <xdr:colOff>401636</xdr:colOff>
      <xdr:row>53</xdr:row>
      <xdr:rowOff>163511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14514512" y="1087119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4</a:t>
          </a:r>
        </a:p>
      </xdr:txBody>
    </xdr:sp>
    <xdr:clientData/>
  </xdr:twoCellAnchor>
  <xdr:twoCellAnchor>
    <xdr:from>
      <xdr:col>14</xdr:col>
      <xdr:colOff>482599</xdr:colOff>
      <xdr:row>52</xdr:row>
      <xdr:rowOff>149224</xdr:rowOff>
    </xdr:from>
    <xdr:to>
      <xdr:col>14</xdr:col>
      <xdr:colOff>681036</xdr:colOff>
      <xdr:row>53</xdr:row>
      <xdr:rowOff>157161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14793912" y="1086484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5</a:t>
          </a:r>
        </a:p>
      </xdr:txBody>
    </xdr:sp>
    <xdr:clientData/>
  </xdr:twoCellAnchor>
  <xdr:twoCellAnchor>
    <xdr:from>
      <xdr:col>15</xdr:col>
      <xdr:colOff>31749</xdr:colOff>
      <xdr:row>52</xdr:row>
      <xdr:rowOff>166686</xdr:rowOff>
    </xdr:from>
    <xdr:to>
      <xdr:col>15</xdr:col>
      <xdr:colOff>230186</xdr:colOff>
      <xdr:row>53</xdr:row>
      <xdr:rowOff>174623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15105062" y="10882311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6</a:t>
          </a:r>
        </a:p>
      </xdr:txBody>
    </xdr:sp>
    <xdr:clientData/>
  </xdr:twoCellAnchor>
  <xdr:twoCellAnchor>
    <xdr:from>
      <xdr:col>15</xdr:col>
      <xdr:colOff>287336</xdr:colOff>
      <xdr:row>52</xdr:row>
      <xdr:rowOff>168274</xdr:rowOff>
    </xdr:from>
    <xdr:to>
      <xdr:col>15</xdr:col>
      <xdr:colOff>485773</xdr:colOff>
      <xdr:row>53</xdr:row>
      <xdr:rowOff>176211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15360649" y="1088389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7</a:t>
          </a:r>
        </a:p>
      </xdr:txBody>
    </xdr:sp>
    <xdr:clientData/>
  </xdr:twoCellAnchor>
  <xdr:twoCellAnchor>
    <xdr:from>
      <xdr:col>15</xdr:col>
      <xdr:colOff>534986</xdr:colOff>
      <xdr:row>52</xdr:row>
      <xdr:rowOff>161924</xdr:rowOff>
    </xdr:from>
    <xdr:to>
      <xdr:col>15</xdr:col>
      <xdr:colOff>733423</xdr:colOff>
      <xdr:row>53</xdr:row>
      <xdr:rowOff>169861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15608299" y="10877549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8</a:t>
          </a:r>
        </a:p>
      </xdr:txBody>
    </xdr:sp>
    <xdr:clientData/>
  </xdr:twoCellAnchor>
  <xdr:twoCellAnchor>
    <xdr:from>
      <xdr:col>16</xdr:col>
      <xdr:colOff>76199</xdr:colOff>
      <xdr:row>52</xdr:row>
      <xdr:rowOff>163511</xdr:rowOff>
    </xdr:from>
    <xdr:to>
      <xdr:col>16</xdr:col>
      <xdr:colOff>274636</xdr:colOff>
      <xdr:row>53</xdr:row>
      <xdr:rowOff>171448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5911512" y="10879136"/>
          <a:ext cx="198437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9</a:t>
          </a:r>
        </a:p>
      </xdr:txBody>
    </xdr:sp>
    <xdr:clientData/>
  </xdr:twoCellAnchor>
  <xdr:twoCellAnchor>
    <xdr:from>
      <xdr:col>16</xdr:col>
      <xdr:colOff>300036</xdr:colOff>
      <xdr:row>52</xdr:row>
      <xdr:rowOff>173036</xdr:rowOff>
    </xdr:from>
    <xdr:to>
      <xdr:col>16</xdr:col>
      <xdr:colOff>635000</xdr:colOff>
      <xdr:row>53</xdr:row>
      <xdr:rowOff>180973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16135349" y="10888661"/>
          <a:ext cx="334964" cy="2063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10</a:t>
          </a:r>
        </a:p>
      </xdr:txBody>
    </xdr:sp>
    <xdr:clientData/>
  </xdr:twoCellAnchor>
  <xdr:twoCellAnchor>
    <xdr:from>
      <xdr:col>16</xdr:col>
      <xdr:colOff>684213</xdr:colOff>
      <xdr:row>50</xdr:row>
      <xdr:rowOff>88900</xdr:rowOff>
    </xdr:from>
    <xdr:to>
      <xdr:col>16</xdr:col>
      <xdr:colOff>690562</xdr:colOff>
      <xdr:row>52</xdr:row>
      <xdr:rowOff>95250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H="1" flipV="1">
          <a:off x="16519526" y="10415588"/>
          <a:ext cx="6349" cy="3952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355599</xdr:colOff>
      <xdr:row>49</xdr:row>
      <xdr:rowOff>173036</xdr:rowOff>
    </xdr:from>
    <xdr:to>
      <xdr:col>17</xdr:col>
      <xdr:colOff>611187</xdr:colOff>
      <xdr:row>51</xdr:row>
      <xdr:rowOff>23812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>
        <a:xfrm>
          <a:off x="16952912" y="10301286"/>
          <a:ext cx="255588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</a:t>
          </a:r>
        </a:p>
      </xdr:txBody>
    </xdr:sp>
    <xdr:clientData/>
  </xdr:twoCellAnchor>
  <xdr:twoCellAnchor>
    <xdr:from>
      <xdr:col>18</xdr:col>
      <xdr:colOff>155573</xdr:colOff>
      <xdr:row>48</xdr:row>
      <xdr:rowOff>63500</xdr:rowOff>
    </xdr:from>
    <xdr:to>
      <xdr:col>18</xdr:col>
      <xdr:colOff>158750</xdr:colOff>
      <xdr:row>52</xdr:row>
      <xdr:rowOff>111125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 flipH="1" flipV="1">
          <a:off x="17514886" y="10001250"/>
          <a:ext cx="3177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424655</xdr:colOff>
      <xdr:row>54</xdr:row>
      <xdr:rowOff>19843</xdr:rowOff>
    </xdr:from>
    <xdr:to>
      <xdr:col>14</xdr:col>
      <xdr:colOff>607218</xdr:colOff>
      <xdr:row>56</xdr:row>
      <xdr:rowOff>99218</xdr:rowOff>
    </xdr:to>
    <xdr:sp macro="" textlink="">
      <xdr:nvSpPr>
        <xdr:cNvPr id="46" name="Abrir llave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rot="16200000">
          <a:off x="14184312" y="10850562"/>
          <a:ext cx="460375" cy="100806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164305</xdr:colOff>
      <xdr:row>54</xdr:row>
      <xdr:rowOff>37305</xdr:rowOff>
    </xdr:from>
    <xdr:to>
      <xdr:col>16</xdr:col>
      <xdr:colOff>492125</xdr:colOff>
      <xdr:row>56</xdr:row>
      <xdr:rowOff>116680</xdr:rowOff>
    </xdr:to>
    <xdr:sp macro="" textlink="">
      <xdr:nvSpPr>
        <xdr:cNvPr id="47" name="Abrir llav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rot="16200000">
          <a:off x="15552340" y="10827146"/>
          <a:ext cx="460375" cy="108982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673893</xdr:colOff>
      <xdr:row>54</xdr:row>
      <xdr:rowOff>23018</xdr:rowOff>
    </xdr:from>
    <xdr:to>
      <xdr:col>18</xdr:col>
      <xdr:colOff>157956</xdr:colOff>
      <xdr:row>56</xdr:row>
      <xdr:rowOff>102393</xdr:rowOff>
    </xdr:to>
    <xdr:sp macro="" textlink="">
      <xdr:nvSpPr>
        <xdr:cNvPr id="48" name="Abrir llave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>
        <a:xfrm rot="16200000">
          <a:off x="16783050" y="10853737"/>
          <a:ext cx="460375" cy="1008063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596900</xdr:colOff>
      <xdr:row>47</xdr:row>
      <xdr:rowOff>152400</xdr:rowOff>
    </xdr:from>
    <xdr:to>
      <xdr:col>16</xdr:col>
      <xdr:colOff>600076</xdr:colOff>
      <xdr:row>50</xdr:row>
      <xdr:rowOff>4764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 flipH="1" flipV="1">
          <a:off x="16432213" y="9899650"/>
          <a:ext cx="3176" cy="4318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458789</xdr:colOff>
      <xdr:row>50</xdr:row>
      <xdr:rowOff>6351</xdr:rowOff>
    </xdr:from>
    <xdr:to>
      <xdr:col>16</xdr:col>
      <xdr:colOff>603250</xdr:colOff>
      <xdr:row>50</xdr:row>
      <xdr:rowOff>7937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CxnSpPr/>
      </xdr:nvCxnSpPr>
      <xdr:spPr>
        <a:xfrm>
          <a:off x="16294102" y="10333039"/>
          <a:ext cx="144461" cy="15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595311</xdr:colOff>
      <xdr:row>46</xdr:row>
      <xdr:rowOff>134936</xdr:rowOff>
    </xdr:from>
    <xdr:to>
      <xdr:col>18</xdr:col>
      <xdr:colOff>571500</xdr:colOff>
      <xdr:row>47</xdr:row>
      <xdr:rowOff>184150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16430624" y="9691686"/>
          <a:ext cx="1500189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Valor</a:t>
          </a:r>
          <a:r>
            <a:rPr lang="es-CO" sz="1100" baseline="0"/>
            <a:t> de continuidad</a:t>
          </a:r>
          <a:endParaRPr lang="es-CO" sz="1100"/>
        </a:p>
      </xdr:txBody>
    </xdr:sp>
    <xdr:clientData/>
  </xdr:twoCellAnchor>
  <xdr:twoCellAnchor>
    <xdr:from>
      <xdr:col>16</xdr:col>
      <xdr:colOff>739774</xdr:colOff>
      <xdr:row>53</xdr:row>
      <xdr:rowOff>160336</xdr:rowOff>
    </xdr:from>
    <xdr:to>
      <xdr:col>18</xdr:col>
      <xdr:colOff>127000</xdr:colOff>
      <xdr:row>55</xdr:row>
      <xdr:rowOff>19050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>
        <a:xfrm>
          <a:off x="16575087" y="11074399"/>
          <a:ext cx="911226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Perpetuidad</a:t>
          </a:r>
        </a:p>
      </xdr:txBody>
    </xdr:sp>
    <xdr:clientData/>
  </xdr:twoCellAnchor>
  <xdr:twoCellAnchor>
    <xdr:from>
      <xdr:col>15</xdr:col>
      <xdr:colOff>249237</xdr:colOff>
      <xdr:row>53</xdr:row>
      <xdr:rowOff>177798</xdr:rowOff>
    </xdr:from>
    <xdr:to>
      <xdr:col>16</xdr:col>
      <xdr:colOff>398463</xdr:colOff>
      <xdr:row>55</xdr:row>
      <xdr:rowOff>36512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>
        <a:xfrm>
          <a:off x="15322550" y="11091861"/>
          <a:ext cx="911226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Proyectado</a:t>
          </a:r>
        </a:p>
      </xdr:txBody>
    </xdr:sp>
    <xdr:clientData/>
  </xdr:twoCellAnchor>
  <xdr:twoCellAnchor>
    <xdr:from>
      <xdr:col>13</xdr:col>
      <xdr:colOff>592136</xdr:colOff>
      <xdr:row>53</xdr:row>
      <xdr:rowOff>179385</xdr:rowOff>
    </xdr:from>
    <xdr:to>
      <xdr:col>14</xdr:col>
      <xdr:colOff>492124</xdr:colOff>
      <xdr:row>55</xdr:row>
      <xdr:rowOff>38099</xdr:rowOff>
    </xdr:to>
    <xdr:sp macro="" textlink="">
      <xdr:nvSpPr>
        <xdr:cNvPr id="56" name="Rectángulo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14077949" y="11093448"/>
          <a:ext cx="725488" cy="2397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Histórico</a:t>
          </a:r>
        </a:p>
      </xdr:txBody>
    </xdr:sp>
    <xdr:clientData/>
  </xdr:twoCellAnchor>
  <xdr:twoCellAnchor>
    <xdr:from>
      <xdr:col>18</xdr:col>
      <xdr:colOff>192086</xdr:colOff>
      <xdr:row>49</xdr:row>
      <xdr:rowOff>17460</xdr:rowOff>
    </xdr:from>
    <xdr:to>
      <xdr:col>19</xdr:col>
      <xdr:colOff>357187</xdr:colOff>
      <xdr:row>51</xdr:row>
      <xdr:rowOff>79374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>
        <a:xfrm>
          <a:off x="17551399" y="10145710"/>
          <a:ext cx="927101" cy="45085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Gradiente de crecimiento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243840</xdr:colOff>
      <xdr:row>8</xdr:row>
      <xdr:rowOff>133349</xdr:rowOff>
    </xdr:from>
    <xdr:to>
      <xdr:col>15</xdr:col>
      <xdr:colOff>95250</xdr:colOff>
      <xdr:row>20</xdr:row>
      <xdr:rowOff>5238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129540</xdr:colOff>
      <xdr:row>8</xdr:row>
      <xdr:rowOff>87629</xdr:rowOff>
    </xdr:from>
    <xdr:to>
      <xdr:col>20</xdr:col>
      <xdr:colOff>15240</xdr:colOff>
      <xdr:row>19</xdr:row>
      <xdr:rowOff>175259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8</xdr:row>
      <xdr:rowOff>76200</xdr:rowOff>
    </xdr:from>
    <xdr:to>
      <xdr:col>24</xdr:col>
      <xdr:colOff>723900</xdr:colOff>
      <xdr:row>19</xdr:row>
      <xdr:rowOff>161925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468630</xdr:colOff>
      <xdr:row>20</xdr:row>
      <xdr:rowOff>95726</xdr:rowOff>
    </xdr:from>
    <xdr:to>
      <xdr:col>20</xdr:col>
      <xdr:colOff>468630</xdr:colOff>
      <xdr:row>34</xdr:row>
      <xdr:rowOff>120491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514351</xdr:colOff>
      <xdr:row>1</xdr:row>
      <xdr:rowOff>180975</xdr:rowOff>
    </xdr:from>
    <xdr:to>
      <xdr:col>15</xdr:col>
      <xdr:colOff>323851</xdr:colOff>
      <xdr:row>4</xdr:row>
      <xdr:rowOff>142874</xdr:rowOff>
    </xdr:to>
    <xdr:sp macro="" textlink="">
      <xdr:nvSpPr>
        <xdr:cNvPr id="2" name="Forma lib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 rot="17984693">
          <a:off x="13444539" y="271462"/>
          <a:ext cx="533399" cy="733425"/>
        </a:xfrm>
        <a:custGeom>
          <a:avLst/>
          <a:gdLst>
            <a:gd name="connsiteX0" fmla="*/ 0 w 533400"/>
            <a:gd name="connsiteY0" fmla="*/ 101957 h 587732"/>
            <a:gd name="connsiteX1" fmla="*/ 238125 w 533400"/>
            <a:gd name="connsiteY1" fmla="*/ 35282 h 587732"/>
            <a:gd name="connsiteX2" fmla="*/ 533400 w 533400"/>
            <a:gd name="connsiteY2" fmla="*/ 587732 h 5877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587732">
              <a:moveTo>
                <a:pt x="0" y="101957"/>
              </a:moveTo>
              <a:cubicBezTo>
                <a:pt x="74612" y="28138"/>
                <a:pt x="149225" y="-45680"/>
                <a:pt x="238125" y="35282"/>
              </a:cubicBezTo>
              <a:cubicBezTo>
                <a:pt x="327025" y="116244"/>
                <a:pt x="533400" y="587732"/>
                <a:pt x="533400" y="587732"/>
              </a:cubicBezTo>
            </a:path>
          </a:pathLst>
        </a:cu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561975</xdr:colOff>
      <xdr:row>0</xdr:row>
      <xdr:rowOff>161927</xdr:rowOff>
    </xdr:from>
    <xdr:to>
      <xdr:col>15</xdr:col>
      <xdr:colOff>476250</xdr:colOff>
      <xdr:row>3</xdr:row>
      <xdr:rowOff>95250</xdr:rowOff>
    </xdr:to>
    <xdr:cxnSp macro="">
      <xdr:nvCxnSpPr>
        <xdr:cNvPr id="3" name="Conector angula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V="1">
          <a:off x="13392150" y="161927"/>
          <a:ext cx="838200" cy="504823"/>
        </a:xfrm>
        <a:prstGeom prst="bentConnector3">
          <a:avLst>
            <a:gd name="adj1" fmla="val 50000"/>
          </a:avLst>
        </a:prstGeom>
        <a:ln w="7302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1</xdr:row>
      <xdr:rowOff>142876</xdr:rowOff>
    </xdr:from>
    <xdr:to>
      <xdr:col>15</xdr:col>
      <xdr:colOff>666750</xdr:colOff>
      <xdr:row>4</xdr:row>
      <xdr:rowOff>66675</xdr:rowOff>
    </xdr:to>
    <xdr:cxnSp macro="">
      <xdr:nvCxnSpPr>
        <xdr:cNvPr id="4" name="Conector angula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V="1">
          <a:off x="13515975" y="333376"/>
          <a:ext cx="904875" cy="495299"/>
        </a:xfrm>
        <a:prstGeom prst="bentConnector3">
          <a:avLst>
            <a:gd name="adj1" fmla="val 51282"/>
          </a:avLst>
        </a:prstGeom>
        <a:ln w="730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429262</xdr:colOff>
      <xdr:row>82</xdr:row>
      <xdr:rowOff>13335</xdr:rowOff>
    </xdr:from>
    <xdr:to>
      <xdr:col>19</xdr:col>
      <xdr:colOff>74023</xdr:colOff>
      <xdr:row>96</xdr:row>
      <xdr:rowOff>60415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687917</xdr:colOff>
      <xdr:row>82</xdr:row>
      <xdr:rowOff>21166</xdr:rowOff>
    </xdr:from>
    <xdr:to>
      <xdr:col>24</xdr:col>
      <xdr:colOff>910167</xdr:colOff>
      <xdr:row>96</xdr:row>
      <xdr:rowOff>12699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82</xdr:row>
      <xdr:rowOff>0</xdr:rowOff>
    </xdr:from>
    <xdr:to>
      <xdr:col>30</xdr:col>
      <xdr:colOff>433916</xdr:colOff>
      <xdr:row>95</xdr:row>
      <xdr:rowOff>182033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592666</xdr:colOff>
      <xdr:row>82</xdr:row>
      <xdr:rowOff>0</xdr:rowOff>
    </xdr:from>
    <xdr:to>
      <xdr:col>35</xdr:col>
      <xdr:colOff>455083</xdr:colOff>
      <xdr:row>95</xdr:row>
      <xdr:rowOff>182033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10583</xdr:colOff>
      <xdr:row>84</xdr:row>
      <xdr:rowOff>84666</xdr:rowOff>
    </xdr:from>
    <xdr:to>
      <xdr:col>34</xdr:col>
      <xdr:colOff>10583</xdr:colOff>
      <xdr:row>94</xdr:row>
      <xdr:rowOff>95250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V="1">
          <a:off x="30671558" y="4449021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596900</xdr:colOff>
      <xdr:row>84</xdr:row>
      <xdr:rowOff>110066</xdr:rowOff>
    </xdr:from>
    <xdr:to>
      <xdr:col>27</xdr:col>
      <xdr:colOff>596900</xdr:colOff>
      <xdr:row>94</xdr:row>
      <xdr:rowOff>120650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V="1">
          <a:off x="25923875" y="4451561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685801</xdr:colOff>
      <xdr:row>84</xdr:row>
      <xdr:rowOff>103716</xdr:rowOff>
    </xdr:from>
    <xdr:to>
      <xdr:col>22</xdr:col>
      <xdr:colOff>685801</xdr:colOff>
      <xdr:row>94</xdr:row>
      <xdr:rowOff>114300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V="1">
          <a:off x="21240751" y="44509266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171451</xdr:colOff>
      <xdr:row>84</xdr:row>
      <xdr:rowOff>86783</xdr:rowOff>
    </xdr:from>
    <xdr:to>
      <xdr:col>17</xdr:col>
      <xdr:colOff>171451</xdr:colOff>
      <xdr:row>94</xdr:row>
      <xdr:rowOff>97367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 flipV="1">
          <a:off x="16544926" y="44492333"/>
          <a:ext cx="0" cy="200130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69</xdr:row>
          <xdr:rowOff>30480</xdr:rowOff>
        </xdr:from>
        <xdr:to>
          <xdr:col>17</xdr:col>
          <xdr:colOff>30480</xdr:colOff>
          <xdr:row>73</xdr:row>
          <xdr:rowOff>15240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55419</xdr:colOff>
      <xdr:row>120</xdr:row>
      <xdr:rowOff>55419</xdr:rowOff>
    </xdr:from>
    <xdr:to>
      <xdr:col>15</xdr:col>
      <xdr:colOff>138546</xdr:colOff>
      <xdr:row>142</xdr:row>
      <xdr:rowOff>69273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1343891</xdr:colOff>
      <xdr:row>120</xdr:row>
      <xdr:rowOff>55418</xdr:rowOff>
    </xdr:from>
    <xdr:to>
      <xdr:col>20</xdr:col>
      <xdr:colOff>1524000</xdr:colOff>
      <xdr:row>142</xdr:row>
      <xdr:rowOff>69272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42334</xdr:colOff>
      <xdr:row>144</xdr:row>
      <xdr:rowOff>13854</xdr:rowOff>
    </xdr:from>
    <xdr:to>
      <xdr:col>15</xdr:col>
      <xdr:colOff>138546</xdr:colOff>
      <xdr:row>163</xdr:row>
      <xdr:rowOff>166255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13545</xdr:colOff>
      <xdr:row>166</xdr:row>
      <xdr:rowOff>114593</xdr:rowOff>
    </xdr:from>
    <xdr:to>
      <xdr:col>15</xdr:col>
      <xdr:colOff>724171</xdr:colOff>
      <xdr:row>189</xdr:row>
      <xdr:rowOff>37576</xdr:rowOff>
    </xdr:to>
    <xdr:graphicFrame macro="">
      <xdr:nvGraphicFramePr>
        <xdr:cNvPr id="24" name="Gráfico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283845</xdr:colOff>
      <xdr:row>166</xdr:row>
      <xdr:rowOff>93344</xdr:rowOff>
    </xdr:from>
    <xdr:to>
      <xdr:col>22</xdr:col>
      <xdr:colOff>1089</xdr:colOff>
      <xdr:row>189</xdr:row>
      <xdr:rowOff>62047</xdr:rowOff>
    </xdr:to>
    <xdr:graphicFrame macro="">
      <xdr:nvGraphicFramePr>
        <xdr:cNvPr id="25" name="Gráfico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188258</xdr:colOff>
      <xdr:row>39</xdr:row>
      <xdr:rowOff>98611</xdr:rowOff>
    </xdr:from>
    <xdr:to>
      <xdr:col>11</xdr:col>
      <xdr:colOff>1219200</xdr:colOff>
      <xdr:row>52</xdr:row>
      <xdr:rowOff>85165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251011</xdr:colOff>
      <xdr:row>39</xdr:row>
      <xdr:rowOff>116541</xdr:rowOff>
    </xdr:from>
    <xdr:to>
      <xdr:col>7</xdr:col>
      <xdr:colOff>457200</xdr:colOff>
      <xdr:row>52</xdr:row>
      <xdr:rowOff>4483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925285</xdr:colOff>
      <xdr:row>31</xdr:row>
      <xdr:rowOff>179614</xdr:rowOff>
    </xdr:from>
    <xdr:to>
      <xdr:col>5</xdr:col>
      <xdr:colOff>631370</xdr:colOff>
      <xdr:row>46</xdr:row>
      <xdr:rowOff>146957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6C77919-F67E-4866-8EA3-9F0CC22E7A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fe275ccf46567ad/Documentos/Espe/Gestion%20de%20valor/UPC%20Taller%201%20Inductores%20de%20Valo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basada%20valor/UPC%20Taller%206%20Predictores%20de%20quie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s Financieros"/>
      <sheetName val="Flujo de Caja"/>
      <sheetName val="Inductores Operativos y Financi"/>
      <sheetName val="Inductores de Rentabilidad"/>
      <sheetName val="Razones Financieras"/>
      <sheetName val="Informe"/>
    </sheetNames>
    <sheetDataSet>
      <sheetData sheetId="0"/>
      <sheetData sheetId="1"/>
      <sheetData sheetId="2"/>
      <sheetData sheetId="3"/>
      <sheetData sheetId="4">
        <row r="23">
          <cell r="B23" t="str">
            <v>Concentracion de Endeudamiento a Corto Plazo</v>
          </cell>
          <cell r="G23">
            <v>0.94956925707820894</v>
          </cell>
        </row>
        <row r="24">
          <cell r="G24">
            <v>5.0430742921791075E-2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s Financieros"/>
      <sheetName val="Altman"/>
      <sheetName val="Indicador Altman Manufactura"/>
      <sheetName val="Indicador Altman Servicios"/>
      <sheetName val="Indice de Evolución"/>
      <sheetName val="Springate"/>
      <sheetName val="CONCEPTOS DE OTROS PREDICTORES"/>
    </sheetNames>
    <sheetDataSet>
      <sheetData sheetId="0"/>
      <sheetData sheetId="1" refreshError="1"/>
      <sheetData sheetId="2"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1.81</v>
          </cell>
          <cell r="D29">
            <v>1.81</v>
          </cell>
          <cell r="E29">
            <v>1.81</v>
          </cell>
          <cell r="F29">
            <v>1.81</v>
          </cell>
          <cell r="G29">
            <v>1.81</v>
          </cell>
        </row>
        <row r="30">
          <cell r="C30">
            <v>2.99</v>
          </cell>
          <cell r="D30">
            <v>2.99</v>
          </cell>
          <cell r="E30">
            <v>2.99</v>
          </cell>
          <cell r="F30">
            <v>2.99</v>
          </cell>
          <cell r="G30">
            <v>2.99</v>
          </cell>
        </row>
        <row r="31">
          <cell r="C31">
            <v>1.2946972887981927</v>
          </cell>
          <cell r="D31">
            <v>2.3289186900147665</v>
          </cell>
          <cell r="E31">
            <v>2.8225575027184342</v>
          </cell>
          <cell r="F31">
            <v>2.9826936854587158</v>
          </cell>
          <cell r="G31">
            <v>2.8400096471953438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00B050"/>
  </sheetPr>
  <dimension ref="A1:AB255"/>
  <sheetViews>
    <sheetView showGridLines="0" topLeftCell="A25" zoomScale="85" zoomScaleNormal="85" workbookViewId="0">
      <selection activeCell="A73" sqref="A73:E73"/>
    </sheetView>
  </sheetViews>
  <sheetFormatPr baseColWidth="10" defaultColWidth="11.44140625" defaultRowHeight="14.4"/>
  <cols>
    <col min="1" max="1" width="32.88671875" style="40" customWidth="1"/>
    <col min="2" max="2" width="14.6640625" style="40" bestFit="1" customWidth="1"/>
    <col min="3" max="3" width="15.5546875" style="40" bestFit="1" customWidth="1"/>
    <col min="4" max="4" width="16.88671875" style="40" bestFit="1" customWidth="1"/>
    <col min="5" max="5" width="18.5546875" style="40" customWidth="1"/>
    <col min="6" max="6" width="16" style="40" hidden="1" customWidth="1"/>
    <col min="7" max="7" width="5.5546875" style="40" hidden="1" customWidth="1"/>
    <col min="8" max="8" width="14.44140625" style="40" customWidth="1"/>
    <col min="9" max="9" width="15.88671875" style="40" bestFit="1" customWidth="1"/>
    <col min="10" max="10" width="18.109375" style="40" customWidth="1"/>
    <col min="11" max="12" width="11.44140625" style="40" hidden="1" customWidth="1"/>
    <col min="13" max="13" width="14.33203125" style="40" customWidth="1"/>
    <col min="14" max="15" width="11.44140625" style="40"/>
    <col min="16" max="16" width="19.6640625" style="40" customWidth="1"/>
    <col min="17" max="17" width="11.44140625" style="40"/>
    <col min="18" max="18" width="15" style="40" bestFit="1" customWidth="1"/>
    <col min="19" max="19" width="14.44140625" style="40" customWidth="1"/>
    <col min="20" max="20" width="1.109375" style="40" customWidth="1"/>
    <col min="21" max="22" width="14.44140625" style="40" customWidth="1"/>
    <col min="23" max="23" width="11.44140625" style="40"/>
    <col min="24" max="24" width="15.6640625" style="40" customWidth="1"/>
    <col min="25" max="25" width="17.6640625" style="40" bestFit="1" customWidth="1"/>
    <col min="26" max="26" width="11.44140625" style="40"/>
    <col min="27" max="27" width="14.6640625" style="40" customWidth="1"/>
    <col min="28" max="16384" width="11.44140625" style="40"/>
  </cols>
  <sheetData>
    <row r="1" spans="1:15" ht="15" customHeight="1">
      <c r="A1" s="530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2"/>
    </row>
    <row r="2" spans="1:15" ht="15" customHeight="1">
      <c r="A2" s="533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5"/>
    </row>
    <row r="3" spans="1:15" ht="15" customHeight="1">
      <c r="A3" s="533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5"/>
    </row>
    <row r="4" spans="1:15" ht="15" customHeight="1">
      <c r="A4" s="533"/>
      <c r="B4" s="534"/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5"/>
    </row>
    <row r="5" spans="1:15" ht="15" customHeight="1" thickBot="1">
      <c r="A5" s="536"/>
      <c r="B5" s="537"/>
      <c r="C5" s="537"/>
      <c r="D5" s="537"/>
      <c r="E5" s="537"/>
      <c r="F5" s="537"/>
      <c r="G5" s="537"/>
      <c r="H5" s="537"/>
      <c r="I5" s="537"/>
      <c r="J5" s="537"/>
      <c r="K5" s="537"/>
      <c r="L5" s="537"/>
      <c r="M5" s="537"/>
      <c r="N5" s="537"/>
      <c r="O5" s="538"/>
    </row>
    <row r="6" spans="1:15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</row>
    <row r="7" spans="1:15" ht="15" thickBot="1"/>
    <row r="8" spans="1:15">
      <c r="A8" s="539"/>
      <c r="B8" s="540"/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541"/>
    </row>
    <row r="9" spans="1:15" ht="15" customHeight="1">
      <c r="A9" s="533" t="s">
        <v>1</v>
      </c>
      <c r="B9" s="534"/>
      <c r="C9" s="534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5"/>
    </row>
    <row r="10" spans="1:15" ht="15.75" customHeight="1" thickBot="1">
      <c r="A10" s="536"/>
      <c r="B10" s="537"/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8"/>
    </row>
    <row r="11" spans="1:15">
      <c r="A11" s="542" t="s">
        <v>373</v>
      </c>
      <c r="B11" s="543"/>
      <c r="C11" s="543"/>
      <c r="D11" s="543"/>
      <c r="E11" s="543"/>
      <c r="F11" s="543"/>
      <c r="G11" s="543"/>
      <c r="H11" s="543"/>
      <c r="I11" s="543"/>
      <c r="J11" s="543"/>
      <c r="K11" s="543"/>
      <c r="L11" s="543"/>
      <c r="M11" s="543"/>
      <c r="N11" s="543"/>
      <c r="O11" s="543"/>
    </row>
    <row r="12" spans="1:15">
      <c r="A12" s="542" t="s">
        <v>17</v>
      </c>
      <c r="B12" s="543"/>
      <c r="C12" s="543"/>
      <c r="D12" s="543"/>
      <c r="E12" s="543"/>
      <c r="F12" s="543"/>
      <c r="G12" s="543"/>
      <c r="H12" s="543"/>
      <c r="I12" s="543"/>
      <c r="J12" s="543"/>
      <c r="K12" s="543"/>
      <c r="L12" s="543"/>
      <c r="M12" s="543"/>
      <c r="N12" s="543"/>
      <c r="O12" s="543"/>
    </row>
    <row r="13" spans="1:15">
      <c r="A13" s="542" t="s">
        <v>3</v>
      </c>
      <c r="B13" s="543"/>
      <c r="C13" s="543"/>
      <c r="D13" s="543"/>
      <c r="E13" s="543"/>
      <c r="F13" s="543"/>
      <c r="G13" s="543"/>
      <c r="H13" s="543"/>
      <c r="I13" s="543"/>
      <c r="J13" s="543"/>
      <c r="K13" s="543"/>
      <c r="L13" s="543"/>
      <c r="M13" s="543"/>
      <c r="N13" s="543"/>
      <c r="O13" s="543"/>
    </row>
    <row r="14" spans="1:15" ht="15" thickBot="1">
      <c r="A14" s="542" t="s">
        <v>2</v>
      </c>
      <c r="B14" s="543"/>
      <c r="C14" s="543"/>
      <c r="D14" s="543"/>
      <c r="E14" s="543"/>
      <c r="F14" s="543"/>
      <c r="G14" s="543"/>
      <c r="H14" s="544"/>
      <c r="I14" s="544"/>
      <c r="J14" s="544"/>
      <c r="K14" s="544"/>
      <c r="L14" s="544"/>
      <c r="M14" s="544"/>
      <c r="N14" s="544"/>
      <c r="O14" s="544"/>
    </row>
    <row r="15" spans="1:15" ht="15" thickBot="1">
      <c r="A15" s="548" t="s">
        <v>10</v>
      </c>
      <c r="B15" s="548"/>
      <c r="C15" s="548"/>
      <c r="D15" s="548"/>
      <c r="E15" s="549"/>
      <c r="F15" s="310"/>
      <c r="G15" s="311"/>
      <c r="H15" s="312">
        <v>2017</v>
      </c>
      <c r="I15" s="313">
        <v>2018</v>
      </c>
      <c r="J15" s="314">
        <v>2019</v>
      </c>
      <c r="K15" s="30"/>
      <c r="L15" s="31"/>
      <c r="M15" s="317">
        <f>+H15</f>
        <v>2017</v>
      </c>
      <c r="N15" s="317">
        <f>M15+1</f>
        <v>2018</v>
      </c>
      <c r="O15" s="318">
        <f>N15+1</f>
        <v>2019</v>
      </c>
    </row>
    <row r="16" spans="1:15">
      <c r="A16" s="550" t="s">
        <v>11</v>
      </c>
      <c r="B16" s="551"/>
      <c r="C16" s="551"/>
      <c r="D16" s="551"/>
      <c r="E16" s="551"/>
      <c r="F16" s="315"/>
      <c r="G16" s="315"/>
      <c r="H16" s="316"/>
      <c r="I16" s="316"/>
      <c r="J16" s="316"/>
      <c r="K16" s="545" t="s">
        <v>27</v>
      </c>
      <c r="L16" s="546"/>
      <c r="M16" s="546"/>
      <c r="N16" s="546"/>
      <c r="O16" s="547"/>
    </row>
    <row r="17" spans="1:15">
      <c r="A17" s="523" t="s">
        <v>192</v>
      </c>
      <c r="B17" s="523"/>
      <c r="C17" s="523"/>
      <c r="D17" s="523"/>
      <c r="E17" s="523"/>
      <c r="F17" s="341"/>
      <c r="G17" s="341"/>
      <c r="H17" s="341">
        <v>2878000</v>
      </c>
      <c r="I17" s="341">
        <v>11102000</v>
      </c>
      <c r="J17" s="341">
        <f>13696391+25258877</f>
        <v>38955268</v>
      </c>
      <c r="K17" s="132"/>
      <c r="L17" s="132"/>
      <c r="M17" s="132">
        <f t="shared" ref="M17:O22" si="0">H17/H$31</f>
        <v>1.6988170849762708E-2</v>
      </c>
      <c r="N17" s="132">
        <f t="shared" si="0"/>
        <v>4.1621366284518894E-2</v>
      </c>
      <c r="O17" s="132">
        <f t="shared" si="0"/>
        <v>0.14066266003093011</v>
      </c>
    </row>
    <row r="18" spans="1:15">
      <c r="A18" s="523" t="s">
        <v>193</v>
      </c>
      <c r="B18" s="523"/>
      <c r="C18" s="523"/>
      <c r="D18" s="523"/>
      <c r="E18" s="523"/>
      <c r="F18" s="341"/>
      <c r="G18" s="341"/>
      <c r="H18" s="341">
        <v>0</v>
      </c>
      <c r="I18" s="341">
        <v>0</v>
      </c>
      <c r="J18" s="341">
        <v>0</v>
      </c>
      <c r="K18" s="132"/>
      <c r="L18" s="132"/>
      <c r="M18" s="132">
        <f t="shared" si="0"/>
        <v>0</v>
      </c>
      <c r="N18" s="132">
        <f t="shared" si="0"/>
        <v>0</v>
      </c>
      <c r="O18" s="132">
        <f t="shared" si="0"/>
        <v>0</v>
      </c>
    </row>
    <row r="19" spans="1:15">
      <c r="A19" s="523" t="s">
        <v>194</v>
      </c>
      <c r="B19" s="523"/>
      <c r="C19" s="523"/>
      <c r="D19" s="523"/>
      <c r="E19" s="523"/>
      <c r="F19" s="341"/>
      <c r="G19" s="341"/>
      <c r="H19" s="341">
        <v>135108000</v>
      </c>
      <c r="I19" s="341">
        <v>179266000</v>
      </c>
      <c r="J19" s="341">
        <v>123679734</v>
      </c>
      <c r="K19" s="132"/>
      <c r="L19" s="132"/>
      <c r="M19" s="132">
        <f t="shared" si="0"/>
        <v>0.79751139234528845</v>
      </c>
      <c r="N19" s="132">
        <f t="shared" si="0"/>
        <v>0.6720677218843959</v>
      </c>
      <c r="O19" s="132">
        <f t="shared" si="0"/>
        <v>0.44659223949782267</v>
      </c>
    </row>
    <row r="20" spans="1:15">
      <c r="A20" s="523" t="s">
        <v>195</v>
      </c>
      <c r="B20" s="523"/>
      <c r="C20" s="523"/>
      <c r="D20" s="523"/>
      <c r="E20" s="523"/>
      <c r="F20" s="341"/>
      <c r="G20" s="341"/>
      <c r="H20" s="341">
        <v>6148000</v>
      </c>
      <c r="I20" s="341">
        <v>55834000</v>
      </c>
      <c r="J20" s="341">
        <v>60622200</v>
      </c>
      <c r="K20" s="132"/>
      <c r="L20" s="132"/>
      <c r="M20" s="132">
        <f t="shared" si="0"/>
        <v>3.6290227374684202E-2</v>
      </c>
      <c r="N20" s="132">
        <f t="shared" si="0"/>
        <v>0.20932150649701206</v>
      </c>
      <c r="O20" s="132">
        <f t="shared" si="0"/>
        <v>0.21889927464822093</v>
      </c>
    </row>
    <row r="21" spans="1:15">
      <c r="A21" s="523" t="s">
        <v>196</v>
      </c>
      <c r="B21" s="523"/>
      <c r="C21" s="523"/>
      <c r="D21" s="523"/>
      <c r="E21" s="523"/>
      <c r="F21" s="341"/>
      <c r="G21" s="341"/>
      <c r="H21" s="341">
        <v>0</v>
      </c>
      <c r="I21" s="341">
        <v>83000</v>
      </c>
      <c r="J21" s="341">
        <f>42940044+86781</f>
        <v>43026825</v>
      </c>
      <c r="K21" s="132"/>
      <c r="L21" s="132"/>
      <c r="M21" s="132">
        <f t="shared" si="0"/>
        <v>0</v>
      </c>
      <c r="N21" s="132">
        <f t="shared" si="0"/>
        <v>3.1116676289092668E-4</v>
      </c>
      <c r="O21" s="132">
        <f t="shared" si="0"/>
        <v>0.15536454933862409</v>
      </c>
    </row>
    <row r="22" spans="1:15">
      <c r="A22" s="524" t="s">
        <v>197</v>
      </c>
      <c r="B22" s="524"/>
      <c r="C22" s="524"/>
      <c r="D22" s="524"/>
      <c r="E22" s="524"/>
      <c r="F22" s="8"/>
      <c r="G22" s="8"/>
      <c r="H22" s="8">
        <f>SUM(H17:H21)</f>
        <v>144134000</v>
      </c>
      <c r="I22" s="8">
        <f>SUM(I17:I21)</f>
        <v>246285000</v>
      </c>
      <c r="J22" s="8">
        <f>SUM(J17:J21)</f>
        <v>266284027</v>
      </c>
      <c r="K22" s="132"/>
      <c r="L22" s="132"/>
      <c r="M22" s="132">
        <f t="shared" si="0"/>
        <v>0.85078979056973536</v>
      </c>
      <c r="N22" s="132">
        <f t="shared" si="0"/>
        <v>0.92332176142881783</v>
      </c>
      <c r="O22" s="132">
        <f t="shared" si="0"/>
        <v>0.96151872351559786</v>
      </c>
    </row>
    <row r="23" spans="1:15">
      <c r="A23" s="525" t="s">
        <v>12</v>
      </c>
      <c r="B23" s="526"/>
      <c r="C23" s="526"/>
      <c r="D23" s="526"/>
      <c r="E23" s="526"/>
      <c r="F23" s="320"/>
      <c r="G23" s="320"/>
      <c r="H23" s="320"/>
      <c r="I23" s="320"/>
      <c r="J23" s="321"/>
      <c r="K23" s="320"/>
      <c r="L23" s="320"/>
      <c r="M23" s="321"/>
      <c r="N23" s="320"/>
      <c r="O23" s="321"/>
    </row>
    <row r="24" spans="1:15">
      <c r="A24" s="527" t="s">
        <v>193</v>
      </c>
      <c r="B24" s="528"/>
      <c r="C24" s="528"/>
      <c r="D24" s="528"/>
      <c r="E24" s="529"/>
      <c r="F24" s="341"/>
      <c r="G24" s="341"/>
      <c r="H24" s="341">
        <v>0</v>
      </c>
      <c r="I24" s="341">
        <v>0</v>
      </c>
      <c r="J24" s="341">
        <v>0</v>
      </c>
      <c r="K24" s="13"/>
      <c r="L24" s="13"/>
      <c r="M24" s="13">
        <f t="shared" ref="M24:O29" si="1">H24/H$31</f>
        <v>0</v>
      </c>
      <c r="N24" s="13">
        <f t="shared" si="1"/>
        <v>0</v>
      </c>
      <c r="O24" s="13">
        <f t="shared" si="1"/>
        <v>0</v>
      </c>
    </row>
    <row r="25" spans="1:15">
      <c r="A25" s="523" t="s">
        <v>198</v>
      </c>
      <c r="B25" s="523"/>
      <c r="C25" s="523"/>
      <c r="D25" s="523"/>
      <c r="E25" s="523"/>
      <c r="F25" s="341"/>
      <c r="G25" s="341"/>
      <c r="H25" s="341">
        <v>0</v>
      </c>
      <c r="I25" s="341">
        <v>0</v>
      </c>
      <c r="J25" s="341">
        <v>0</v>
      </c>
      <c r="K25" s="13"/>
      <c r="L25" s="13"/>
      <c r="M25" s="13">
        <f t="shared" si="1"/>
        <v>0</v>
      </c>
      <c r="N25" s="13">
        <f t="shared" si="1"/>
        <v>0</v>
      </c>
      <c r="O25" s="13">
        <f t="shared" si="1"/>
        <v>0</v>
      </c>
    </row>
    <row r="26" spans="1:15">
      <c r="A26" s="523" t="s">
        <v>199</v>
      </c>
      <c r="B26" s="523"/>
      <c r="C26" s="523"/>
      <c r="D26" s="523"/>
      <c r="E26" s="523"/>
      <c r="F26" s="341"/>
      <c r="G26" s="341"/>
      <c r="H26" s="341">
        <v>25278000</v>
      </c>
      <c r="I26" s="341">
        <v>20453000</v>
      </c>
      <c r="J26" s="390">
        <f>10657046</f>
        <v>10657046</v>
      </c>
      <c r="K26" s="13"/>
      <c r="L26" s="13"/>
      <c r="M26" s="13">
        <f t="shared" si="1"/>
        <v>0.14921020943026467</v>
      </c>
      <c r="N26" s="13">
        <f t="shared" si="1"/>
        <v>7.6678238571182208E-2</v>
      </c>
      <c r="O26" s="13">
        <f t="shared" si="1"/>
        <v>3.8481276484402152E-2</v>
      </c>
    </row>
    <row r="27" spans="1:15">
      <c r="A27" s="523" t="s">
        <v>200</v>
      </c>
      <c r="B27" s="523"/>
      <c r="C27" s="523"/>
      <c r="D27" s="523"/>
      <c r="E27" s="523"/>
      <c r="F27" s="341"/>
      <c r="G27" s="341"/>
      <c r="H27" s="341">
        <v>0</v>
      </c>
      <c r="I27" s="341">
        <v>0</v>
      </c>
      <c r="J27" s="341">
        <v>0</v>
      </c>
      <c r="K27" s="13"/>
      <c r="L27" s="13"/>
      <c r="M27" s="13">
        <f t="shared" si="1"/>
        <v>0</v>
      </c>
      <c r="N27" s="13">
        <f t="shared" si="1"/>
        <v>0</v>
      </c>
      <c r="O27" s="13">
        <f t="shared" si="1"/>
        <v>0</v>
      </c>
    </row>
    <row r="28" spans="1:15">
      <c r="A28" s="523" t="s">
        <v>201</v>
      </c>
      <c r="B28" s="523"/>
      <c r="C28" s="523"/>
      <c r="D28" s="523"/>
      <c r="E28" s="523"/>
      <c r="F28" s="341"/>
      <c r="G28" s="341"/>
      <c r="H28" s="341">
        <v>0</v>
      </c>
      <c r="I28" s="341">
        <v>0</v>
      </c>
      <c r="J28" s="341">
        <v>0</v>
      </c>
      <c r="K28" s="13"/>
      <c r="L28" s="13"/>
      <c r="M28" s="13">
        <f t="shared" si="1"/>
        <v>0</v>
      </c>
      <c r="N28" s="13">
        <f t="shared" si="1"/>
        <v>0</v>
      </c>
      <c r="O28" s="13">
        <f t="shared" si="1"/>
        <v>0</v>
      </c>
    </row>
    <row r="29" spans="1:15">
      <c r="A29" s="524" t="s">
        <v>202</v>
      </c>
      <c r="B29" s="524"/>
      <c r="C29" s="524"/>
      <c r="D29" s="524"/>
      <c r="E29" s="524"/>
      <c r="F29" s="8"/>
      <c r="G29" s="8"/>
      <c r="H29" s="8">
        <f>SUM(H24:H28)</f>
        <v>25278000</v>
      </c>
      <c r="I29" s="8">
        <f>SUM(I24:I28)</f>
        <v>20453000</v>
      </c>
      <c r="J29" s="8">
        <f>SUM(J24:J28)</f>
        <v>10657046</v>
      </c>
      <c r="K29" s="14"/>
      <c r="L29" s="14"/>
      <c r="M29" s="14">
        <f t="shared" si="1"/>
        <v>0.14921020943026467</v>
      </c>
      <c r="N29" s="14">
        <f t="shared" si="1"/>
        <v>7.6678238571182208E-2</v>
      </c>
      <c r="O29" s="13">
        <f t="shared" si="1"/>
        <v>3.8481276484402152E-2</v>
      </c>
    </row>
    <row r="30" spans="1:15">
      <c r="A30" s="295"/>
      <c r="B30" s="295"/>
      <c r="C30" s="295"/>
      <c r="D30" s="295"/>
      <c r="E30" s="295"/>
      <c r="F30" s="42"/>
      <c r="G30" s="42"/>
      <c r="H30" s="42"/>
      <c r="I30" s="42"/>
      <c r="J30" s="42"/>
    </row>
    <row r="31" spans="1:15">
      <c r="A31" s="548" t="s">
        <v>4</v>
      </c>
      <c r="B31" s="548"/>
      <c r="C31" s="548"/>
      <c r="D31" s="548"/>
      <c r="E31" s="548"/>
      <c r="F31" s="322">
        <f>F22+F29</f>
        <v>0</v>
      </c>
      <c r="G31" s="322">
        <f>G22+G29</f>
        <v>0</v>
      </c>
      <c r="H31" s="322">
        <f>H22+H29</f>
        <v>169412000</v>
      </c>
      <c r="I31" s="322">
        <f>I22+I29</f>
        <v>266738000</v>
      </c>
      <c r="J31" s="322">
        <f>J22+J29</f>
        <v>276941073</v>
      </c>
    </row>
    <row r="32" spans="1:15">
      <c r="A32" s="296"/>
    </row>
    <row r="33" spans="1:16">
      <c r="A33" s="561" t="s">
        <v>13</v>
      </c>
      <c r="B33" s="562"/>
      <c r="C33" s="562"/>
      <c r="D33" s="562"/>
      <c r="E33" s="562"/>
      <c r="F33" s="323"/>
      <c r="G33" s="323"/>
      <c r="H33" s="323"/>
      <c r="I33" s="323"/>
      <c r="J33" s="324"/>
      <c r="K33" s="325"/>
      <c r="L33" s="325"/>
      <c r="M33" s="325"/>
      <c r="N33" s="325"/>
      <c r="O33" s="325"/>
    </row>
    <row r="34" spans="1:16">
      <c r="A34" s="523" t="s">
        <v>203</v>
      </c>
      <c r="B34" s="523"/>
      <c r="C34" s="523"/>
      <c r="D34" s="523"/>
      <c r="E34" s="523"/>
      <c r="F34" s="341"/>
      <c r="G34" s="341"/>
      <c r="H34" s="341">
        <v>0</v>
      </c>
      <c r="I34" s="341">
        <v>0</v>
      </c>
      <c r="J34" s="341">
        <v>0</v>
      </c>
      <c r="K34" s="133"/>
      <c r="L34" s="13"/>
      <c r="M34" s="13">
        <f t="shared" ref="M34:O39" si="2">H34/H$46</f>
        <v>0</v>
      </c>
      <c r="N34" s="13">
        <f t="shared" si="2"/>
        <v>0</v>
      </c>
      <c r="O34" s="13">
        <f t="shared" si="2"/>
        <v>0</v>
      </c>
    </row>
    <row r="35" spans="1:16">
      <c r="A35" s="523" t="s">
        <v>204</v>
      </c>
      <c r="B35" s="523"/>
      <c r="C35" s="523"/>
      <c r="D35" s="523"/>
      <c r="E35" s="523"/>
      <c r="F35" s="341"/>
      <c r="G35" s="341"/>
      <c r="H35" s="341">
        <v>136248000</v>
      </c>
      <c r="I35" s="341">
        <v>167772000</v>
      </c>
      <c r="J35" s="341">
        <v>183137894</v>
      </c>
      <c r="K35" s="133"/>
      <c r="L35" s="13"/>
      <c r="M35" s="13">
        <f t="shared" si="2"/>
        <v>0.9211360732322379</v>
      </c>
      <c r="N35" s="13">
        <f t="shared" si="2"/>
        <v>0.8115748534277587</v>
      </c>
      <c r="O35" s="13">
        <f t="shared" si="2"/>
        <v>0.47304057329911903</v>
      </c>
    </row>
    <row r="36" spans="1:16">
      <c r="A36" s="523" t="s">
        <v>205</v>
      </c>
      <c r="B36" s="523"/>
      <c r="C36" s="523"/>
      <c r="D36" s="523"/>
      <c r="E36" s="523"/>
      <c r="F36" s="341"/>
      <c r="G36" s="341"/>
      <c r="H36" s="341">
        <v>0</v>
      </c>
      <c r="I36" s="341">
        <v>0</v>
      </c>
      <c r="J36" s="341">
        <v>34995107</v>
      </c>
      <c r="K36" s="133"/>
      <c r="L36" s="13"/>
      <c r="M36" s="13">
        <f t="shared" si="2"/>
        <v>0</v>
      </c>
      <c r="N36" s="13">
        <f t="shared" si="2"/>
        <v>0</v>
      </c>
      <c r="O36" s="13">
        <f t="shared" si="2"/>
        <v>9.039148106586839E-2</v>
      </c>
      <c r="P36" s="297"/>
    </row>
    <row r="37" spans="1:16">
      <c r="A37" s="523" t="s">
        <v>206</v>
      </c>
      <c r="B37" s="523"/>
      <c r="C37" s="523"/>
      <c r="D37" s="523"/>
      <c r="E37" s="523"/>
      <c r="F37" s="341"/>
      <c r="G37" s="341"/>
      <c r="H37" s="341">
        <v>5591000</v>
      </c>
      <c r="I37" s="341">
        <v>4799000</v>
      </c>
      <c r="J37" s="341">
        <v>13966541</v>
      </c>
      <c r="K37" s="133"/>
      <c r="L37" s="13"/>
      <c r="M37" s="13">
        <f t="shared" si="2"/>
        <v>3.7799246854569916E-2</v>
      </c>
      <c r="N37" s="13">
        <f t="shared" si="2"/>
        <v>2.3214527582670615E-2</v>
      </c>
      <c r="O37" s="13">
        <f t="shared" si="2"/>
        <v>3.6075224069387034E-2</v>
      </c>
    </row>
    <row r="38" spans="1:16">
      <c r="A38" s="523" t="s">
        <v>207</v>
      </c>
      <c r="B38" s="523"/>
      <c r="C38" s="523"/>
      <c r="D38" s="523"/>
      <c r="E38" s="523"/>
      <c r="F38" s="341"/>
      <c r="G38" s="341"/>
      <c r="H38" s="341">
        <v>1074000</v>
      </c>
      <c r="I38" s="341">
        <v>14153000</v>
      </c>
      <c r="J38" s="341">
        <f>2611400+16751017+688540</f>
        <v>20050957</v>
      </c>
      <c r="K38" s="133"/>
      <c r="L38" s="13"/>
      <c r="M38" s="13">
        <f t="shared" si="2"/>
        <v>7.2610250620297068E-3</v>
      </c>
      <c r="N38" s="13">
        <f t="shared" si="2"/>
        <v>6.8463265029701431E-2</v>
      </c>
      <c r="O38" s="13">
        <f t="shared" si="2"/>
        <v>5.1791117541604925E-2</v>
      </c>
    </row>
    <row r="39" spans="1:16">
      <c r="A39" s="523" t="s">
        <v>5</v>
      </c>
      <c r="B39" s="523"/>
      <c r="C39" s="523"/>
      <c r="D39" s="523"/>
      <c r="E39" s="523"/>
      <c r="F39" s="8"/>
      <c r="G39" s="8"/>
      <c r="H39" s="8">
        <f>SUM(H34:H38)</f>
        <v>142913000</v>
      </c>
      <c r="I39" s="8">
        <f>SUM(I34:I38)</f>
        <v>186724000</v>
      </c>
      <c r="J39" s="8">
        <f>SUM(J34:J38)</f>
        <v>252150499</v>
      </c>
      <c r="K39" s="132"/>
      <c r="L39" s="14"/>
      <c r="M39" s="14">
        <f t="shared" si="2"/>
        <v>0.96619634514883745</v>
      </c>
      <c r="N39" s="14">
        <f t="shared" si="2"/>
        <v>0.90325264604013078</v>
      </c>
      <c r="O39" s="14">
        <f t="shared" si="2"/>
        <v>0.65129839597597938</v>
      </c>
    </row>
    <row r="40" spans="1:16">
      <c r="A40" s="525" t="s">
        <v>14</v>
      </c>
      <c r="B40" s="526"/>
      <c r="C40" s="526"/>
      <c r="D40" s="526"/>
      <c r="E40" s="526"/>
      <c r="F40" s="320"/>
      <c r="G40" s="320"/>
      <c r="H40" s="320"/>
      <c r="I40" s="320"/>
      <c r="J40" s="321"/>
      <c r="K40" s="320"/>
      <c r="L40" s="320"/>
      <c r="M40" s="320"/>
      <c r="N40" s="320"/>
      <c r="O40" s="321"/>
    </row>
    <row r="41" spans="1:16">
      <c r="A41" s="523" t="s">
        <v>203</v>
      </c>
      <c r="B41" s="523"/>
      <c r="C41" s="523"/>
      <c r="D41" s="523"/>
      <c r="E41" s="523"/>
      <c r="F41" s="341"/>
      <c r="G41" s="341"/>
      <c r="H41" s="341">
        <v>5000000</v>
      </c>
      <c r="I41" s="341">
        <v>20000000</v>
      </c>
      <c r="J41" s="341">
        <v>135000000</v>
      </c>
      <c r="K41" s="133"/>
      <c r="L41" s="13"/>
      <c r="M41" s="13">
        <f t="shared" ref="M41:O44" si="3">H41/H$46</f>
        <v>3.3803654851162511E-2</v>
      </c>
      <c r="N41" s="13">
        <f t="shared" si="3"/>
        <v>9.6747353959869192E-2</v>
      </c>
      <c r="O41" s="13">
        <f t="shared" si="3"/>
        <v>0.34870160402402062</v>
      </c>
    </row>
    <row r="42" spans="1:16">
      <c r="A42" s="523" t="s">
        <v>208</v>
      </c>
      <c r="B42" s="523"/>
      <c r="C42" s="523"/>
      <c r="D42" s="523"/>
      <c r="E42" s="523"/>
      <c r="F42" s="341"/>
      <c r="G42" s="341"/>
      <c r="H42" s="341">
        <v>0</v>
      </c>
      <c r="I42" s="341">
        <v>0</v>
      </c>
      <c r="J42" s="341">
        <v>0</v>
      </c>
      <c r="K42" s="133"/>
      <c r="L42" s="13"/>
      <c r="M42" s="13">
        <f t="shared" si="3"/>
        <v>0</v>
      </c>
      <c r="N42" s="13">
        <f t="shared" si="3"/>
        <v>0</v>
      </c>
      <c r="O42" s="13">
        <f t="shared" si="3"/>
        <v>0</v>
      </c>
    </row>
    <row r="43" spans="1:16">
      <c r="A43" s="523" t="s">
        <v>207</v>
      </c>
      <c r="B43" s="523"/>
      <c r="C43" s="523"/>
      <c r="D43" s="523"/>
      <c r="E43" s="523"/>
      <c r="F43" s="341"/>
      <c r="G43" s="341"/>
      <c r="H43" s="341">
        <v>0</v>
      </c>
      <c r="I43" s="341">
        <v>0</v>
      </c>
      <c r="J43" s="341">
        <v>0</v>
      </c>
      <c r="K43" s="133"/>
      <c r="L43" s="13"/>
      <c r="M43" s="13">
        <f t="shared" si="3"/>
        <v>0</v>
      </c>
      <c r="N43" s="13">
        <f t="shared" si="3"/>
        <v>0</v>
      </c>
      <c r="O43" s="13">
        <f t="shared" si="3"/>
        <v>0</v>
      </c>
    </row>
    <row r="44" spans="1:16">
      <c r="A44" s="524" t="s">
        <v>6</v>
      </c>
      <c r="B44" s="524"/>
      <c r="C44" s="524"/>
      <c r="D44" s="524"/>
      <c r="E44" s="524"/>
      <c r="F44" s="8"/>
      <c r="G44" s="8"/>
      <c r="H44" s="8">
        <f>SUM(H41:H43)</f>
        <v>5000000</v>
      </c>
      <c r="I44" s="8">
        <f>SUM(I41:I43)</f>
        <v>20000000</v>
      </c>
      <c r="J44" s="8">
        <f>SUM(J41:J43)</f>
        <v>135000000</v>
      </c>
      <c r="K44" s="14"/>
      <c r="L44" s="14"/>
      <c r="M44" s="14">
        <f t="shared" si="3"/>
        <v>3.3803654851162511E-2</v>
      </c>
      <c r="N44" s="14">
        <f t="shared" si="3"/>
        <v>9.6747353959869192E-2</v>
      </c>
      <c r="O44" s="14">
        <f t="shared" si="3"/>
        <v>0.34870160402402062</v>
      </c>
    </row>
    <row r="45" spans="1:16">
      <c r="A45" s="296"/>
      <c r="B45" s="296"/>
      <c r="C45" s="296"/>
      <c r="D45" s="296"/>
      <c r="E45" s="296"/>
    </row>
    <row r="46" spans="1:16">
      <c r="A46" s="548" t="s">
        <v>7</v>
      </c>
      <c r="B46" s="548"/>
      <c r="C46" s="548"/>
      <c r="D46" s="548"/>
      <c r="E46" s="548"/>
      <c r="F46" s="322">
        <f>F39+F44</f>
        <v>0</v>
      </c>
      <c r="G46" s="322">
        <f>G39+G44</f>
        <v>0</v>
      </c>
      <c r="H46" s="322">
        <f>H39+H44</f>
        <v>147913000</v>
      </c>
      <c r="I46" s="322">
        <f>I39+I44</f>
        <v>206724000</v>
      </c>
      <c r="J46" s="322">
        <f>J39+J44</f>
        <v>387150499</v>
      </c>
    </row>
    <row r="47" spans="1:16">
      <c r="A47" s="296"/>
    </row>
    <row r="48" spans="1:16">
      <c r="A48" s="561" t="s">
        <v>15</v>
      </c>
      <c r="B48" s="562"/>
      <c r="C48" s="562"/>
      <c r="D48" s="562"/>
      <c r="E48" s="562"/>
      <c r="F48" s="323"/>
      <c r="G48" s="323"/>
      <c r="H48" s="323"/>
      <c r="I48" s="323"/>
      <c r="J48" s="324"/>
      <c r="K48" s="323"/>
      <c r="L48" s="323"/>
      <c r="M48" s="323"/>
      <c r="N48" s="323"/>
      <c r="O48" s="324"/>
    </row>
    <row r="49" spans="1:28">
      <c r="A49" s="523" t="s">
        <v>209</v>
      </c>
      <c r="B49" s="523"/>
      <c r="C49" s="523"/>
      <c r="D49" s="523"/>
      <c r="E49" s="523"/>
      <c r="F49" s="341"/>
      <c r="G49" s="341"/>
      <c r="H49" s="341">
        <v>15300000</v>
      </c>
      <c r="I49" s="341">
        <v>109133000</v>
      </c>
      <c r="J49" s="390">
        <f>109133000</f>
        <v>109133000</v>
      </c>
      <c r="K49" s="133"/>
      <c r="L49" s="13"/>
      <c r="M49" s="13">
        <f t="shared" ref="M49:O53" si="4">H49/H$53</f>
        <v>0.71166100748872041</v>
      </c>
      <c r="N49" s="13">
        <f t="shared" si="4"/>
        <v>1.8184590262272136</v>
      </c>
      <c r="O49" s="13">
        <f t="shared" si="4"/>
        <v>-0.99023290439785072</v>
      </c>
    </row>
    <row r="50" spans="1:28">
      <c r="A50" s="523" t="s">
        <v>210</v>
      </c>
      <c r="B50" s="523"/>
      <c r="C50" s="523"/>
      <c r="D50" s="523"/>
      <c r="E50" s="523"/>
      <c r="F50" s="341"/>
      <c r="G50" s="341"/>
      <c r="H50" s="341">
        <v>0</v>
      </c>
      <c r="I50" s="341">
        <v>0</v>
      </c>
      <c r="J50" s="341">
        <v>-46923441</v>
      </c>
      <c r="K50" s="133"/>
      <c r="L50" s="13"/>
      <c r="M50" s="13">
        <f t="shared" si="4"/>
        <v>0</v>
      </c>
      <c r="N50" s="13">
        <f t="shared" si="4"/>
        <v>0</v>
      </c>
      <c r="O50" s="13">
        <f t="shared" si="4"/>
        <v>0.42576613183703543</v>
      </c>
    </row>
    <row r="51" spans="1:28">
      <c r="A51" s="523" t="s">
        <v>211</v>
      </c>
      <c r="B51" s="523"/>
      <c r="C51" s="523"/>
      <c r="D51" s="523"/>
      <c r="E51" s="523"/>
      <c r="F51" s="341"/>
      <c r="G51" s="341"/>
      <c r="H51" s="341">
        <v>0</v>
      </c>
      <c r="I51" s="341">
        <v>6199000</v>
      </c>
      <c r="J51" s="341">
        <v>0</v>
      </c>
      <c r="K51" s="133"/>
      <c r="L51" s="13"/>
      <c r="M51" s="13">
        <f t="shared" si="4"/>
        <v>0</v>
      </c>
      <c r="N51" s="13">
        <f t="shared" si="4"/>
        <v>0.10329256506815077</v>
      </c>
      <c r="O51" s="13">
        <f t="shared" si="4"/>
        <v>0</v>
      </c>
    </row>
    <row r="52" spans="1:28">
      <c r="A52" s="523" t="s">
        <v>212</v>
      </c>
      <c r="B52" s="523"/>
      <c r="C52" s="523"/>
      <c r="D52" s="523"/>
      <c r="E52" s="523"/>
      <c r="F52" s="341"/>
      <c r="G52" s="341"/>
      <c r="H52" s="341">
        <v>6199000</v>
      </c>
      <c r="I52" s="341">
        <f>+I78</f>
        <v>-55318000</v>
      </c>
      <c r="J52" s="341">
        <v>-172418985</v>
      </c>
      <c r="K52" s="133"/>
      <c r="L52" s="13"/>
      <c r="M52" s="13">
        <f t="shared" si="4"/>
        <v>0.28833899251127959</v>
      </c>
      <c r="N52" s="13">
        <f t="shared" si="4"/>
        <v>-0.92175159129536444</v>
      </c>
      <c r="O52" s="13">
        <f t="shared" si="4"/>
        <v>1.5644667725608152</v>
      </c>
    </row>
    <row r="53" spans="1:28">
      <c r="A53" s="523" t="s">
        <v>8</v>
      </c>
      <c r="B53" s="523"/>
      <c r="C53" s="523"/>
      <c r="D53" s="523"/>
      <c r="E53" s="523"/>
      <c r="F53" s="8"/>
      <c r="G53" s="8"/>
      <c r="H53" s="8">
        <f>SUM(H49:H52)</f>
        <v>21499000</v>
      </c>
      <c r="I53" s="8">
        <f>SUM(I49:I52)</f>
        <v>60014000</v>
      </c>
      <c r="J53" s="8">
        <f>SUM(J49:J52)</f>
        <v>-110209426</v>
      </c>
      <c r="K53" s="133"/>
      <c r="L53" s="13"/>
      <c r="M53" s="13">
        <f t="shared" si="4"/>
        <v>1</v>
      </c>
      <c r="N53" s="13">
        <f t="shared" si="4"/>
        <v>1</v>
      </c>
      <c r="O53" s="13">
        <f t="shared" si="4"/>
        <v>1</v>
      </c>
    </row>
    <row r="54" spans="1:28">
      <c r="A54" s="295"/>
      <c r="B54" s="295"/>
      <c r="C54" s="295"/>
      <c r="D54" s="295"/>
      <c r="E54" s="295"/>
      <c r="F54" s="42"/>
      <c r="G54" s="42"/>
      <c r="H54" s="42"/>
      <c r="I54" s="42"/>
      <c r="J54" s="42"/>
    </row>
    <row r="55" spans="1:28">
      <c r="A55" s="548" t="s">
        <v>9</v>
      </c>
      <c r="B55" s="548"/>
      <c r="C55" s="548"/>
      <c r="D55" s="548"/>
      <c r="E55" s="548"/>
      <c r="F55" s="322">
        <f>F46+F53</f>
        <v>0</v>
      </c>
      <c r="G55" s="322">
        <f>G46+G53</f>
        <v>0</v>
      </c>
      <c r="H55" s="322">
        <f>H46+H53</f>
        <v>169412000</v>
      </c>
      <c r="I55" s="322">
        <f>I46+I53</f>
        <v>266738000</v>
      </c>
      <c r="J55" s="322">
        <f>J46+J53</f>
        <v>276941073</v>
      </c>
    </row>
    <row r="57" spans="1:28">
      <c r="A57" s="552" t="s">
        <v>16</v>
      </c>
      <c r="B57" s="553"/>
      <c r="C57" s="553"/>
      <c r="D57" s="553"/>
      <c r="E57" s="554"/>
      <c r="F57" s="298">
        <f>F55-F31</f>
        <v>0</v>
      </c>
      <c r="G57" s="298">
        <f>G55-G31</f>
        <v>0</v>
      </c>
      <c r="H57" s="309">
        <f>H55-H31</f>
        <v>0</v>
      </c>
      <c r="I57" s="309">
        <f>I55-I31</f>
        <v>0</v>
      </c>
      <c r="J57" s="309">
        <f>J55-J31</f>
        <v>0</v>
      </c>
    </row>
    <row r="59" spans="1:28">
      <c r="A59" s="555" t="str">
        <f>A11</f>
        <v>SIEMBRA CAMBIO S.A.S</v>
      </c>
      <c r="B59" s="556"/>
      <c r="C59" s="556"/>
      <c r="D59" s="556"/>
      <c r="E59" s="556"/>
      <c r="F59" s="556"/>
      <c r="G59" s="556"/>
      <c r="H59" s="556"/>
      <c r="I59" s="556"/>
      <c r="J59" s="557"/>
    </row>
    <row r="60" spans="1:28">
      <c r="A60" s="542" t="s">
        <v>18</v>
      </c>
      <c r="B60" s="543"/>
      <c r="C60" s="543"/>
      <c r="D60" s="543"/>
      <c r="E60" s="543"/>
      <c r="F60" s="543"/>
      <c r="G60" s="543"/>
      <c r="H60" s="543"/>
      <c r="I60" s="543"/>
      <c r="J60" s="543"/>
    </row>
    <row r="61" spans="1:28">
      <c r="A61" s="542" t="s">
        <v>3</v>
      </c>
      <c r="B61" s="543"/>
      <c r="C61" s="543"/>
      <c r="D61" s="543"/>
      <c r="E61" s="543"/>
      <c r="F61" s="543"/>
      <c r="G61" s="543"/>
      <c r="H61" s="543"/>
      <c r="I61" s="543"/>
      <c r="J61" s="543"/>
    </row>
    <row r="62" spans="1:28" ht="15" thickBot="1">
      <c r="A62" s="558" t="s">
        <v>2</v>
      </c>
      <c r="B62" s="544"/>
      <c r="C62" s="544"/>
      <c r="D62" s="544"/>
      <c r="E62" s="544"/>
      <c r="F62" s="544"/>
      <c r="G62" s="544"/>
      <c r="H62" s="544"/>
      <c r="I62" s="544"/>
      <c r="J62" s="544"/>
      <c r="R62" s="560" t="s">
        <v>371</v>
      </c>
      <c r="S62" s="560"/>
      <c r="U62" s="560" t="s">
        <v>372</v>
      </c>
      <c r="V62" s="560"/>
    </row>
    <row r="63" spans="1:28">
      <c r="A63" s="559" t="s">
        <v>25</v>
      </c>
      <c r="B63" s="559"/>
      <c r="C63" s="559"/>
      <c r="D63" s="559"/>
      <c r="E63" s="559"/>
      <c r="F63" s="329"/>
      <c r="G63" s="329"/>
      <c r="H63" s="329">
        <f t="shared" ref="H63:O63" si="5">H15</f>
        <v>2017</v>
      </c>
      <c r="I63" s="329">
        <f t="shared" si="5"/>
        <v>2018</v>
      </c>
      <c r="J63" s="330">
        <f t="shared" si="5"/>
        <v>2019</v>
      </c>
      <c r="K63" s="326"/>
      <c r="L63" s="327"/>
      <c r="M63" s="327">
        <f t="shared" si="5"/>
        <v>2017</v>
      </c>
      <c r="N63" s="327">
        <f t="shared" si="5"/>
        <v>2018</v>
      </c>
      <c r="O63" s="328">
        <f t="shared" si="5"/>
        <v>2019</v>
      </c>
      <c r="P63" s="517" t="s">
        <v>38</v>
      </c>
      <c r="R63" s="289" t="s">
        <v>244</v>
      </c>
      <c r="S63" s="289" t="s">
        <v>245</v>
      </c>
      <c r="T63" s="288"/>
      <c r="U63" s="289" t="s">
        <v>244</v>
      </c>
      <c r="V63" s="289" t="s">
        <v>370</v>
      </c>
      <c r="X63" s="29" t="s">
        <v>244</v>
      </c>
      <c r="Y63" s="29" t="s">
        <v>245</v>
      </c>
      <c r="AA63" s="29" t="s">
        <v>244</v>
      </c>
      <c r="AB63" s="29" t="s">
        <v>245</v>
      </c>
    </row>
    <row r="64" spans="1:28" ht="15" thickBot="1">
      <c r="A64" s="525" t="s">
        <v>22</v>
      </c>
      <c r="B64" s="526"/>
      <c r="C64" s="526"/>
      <c r="D64" s="526"/>
      <c r="E64" s="526"/>
      <c r="F64" s="320"/>
      <c r="G64" s="320"/>
      <c r="H64" s="320"/>
      <c r="I64" s="320"/>
      <c r="J64" s="320"/>
      <c r="K64" s="520" t="s">
        <v>28</v>
      </c>
      <c r="L64" s="521"/>
      <c r="M64" s="521"/>
      <c r="N64" s="521"/>
      <c r="O64" s="522"/>
      <c r="P64" s="518"/>
      <c r="R64" s="51" t="s">
        <v>29</v>
      </c>
      <c r="S64" s="154">
        <f>P65</f>
        <v>1</v>
      </c>
      <c r="T64" s="286"/>
      <c r="U64" s="51" t="s">
        <v>29</v>
      </c>
      <c r="V64" s="154">
        <f>P65</f>
        <v>1</v>
      </c>
      <c r="W64" s="299"/>
      <c r="X64" s="51" t="s">
        <v>29</v>
      </c>
      <c r="Y64" s="154">
        <f>+'Estados Finan + Estrategia'!O85/'Estados Finan + Estrategia'!O85</f>
        <v>1</v>
      </c>
      <c r="AA64" s="51" t="s">
        <v>29</v>
      </c>
      <c r="AB64" s="154">
        <f>S64</f>
        <v>1</v>
      </c>
    </row>
    <row r="65" spans="1:28">
      <c r="A65" s="527" t="s">
        <v>213</v>
      </c>
      <c r="B65" s="528"/>
      <c r="C65" s="528"/>
      <c r="D65" s="528"/>
      <c r="E65" s="529"/>
      <c r="F65" s="341"/>
      <c r="G65" s="341"/>
      <c r="H65" s="341">
        <v>217892000</v>
      </c>
      <c r="I65" s="341">
        <v>1273888000</v>
      </c>
      <c r="J65" s="341">
        <v>1515597985</v>
      </c>
      <c r="K65" s="132"/>
      <c r="L65" s="14"/>
      <c r="M65" s="14">
        <f t="shared" ref="M65:O70" si="6">H65/H$65</f>
        <v>1</v>
      </c>
      <c r="N65" s="14">
        <f t="shared" si="6"/>
        <v>1</v>
      </c>
      <c r="O65" s="14">
        <f t="shared" si="6"/>
        <v>1</v>
      </c>
      <c r="P65" s="14">
        <f>AVERAGE(M65:O65)</f>
        <v>1</v>
      </c>
      <c r="R65" s="51" t="s">
        <v>234</v>
      </c>
      <c r="S65" s="154">
        <f>+O66</f>
        <v>0.66541792083472584</v>
      </c>
      <c r="T65" s="286"/>
      <c r="U65" s="51" t="s">
        <v>234</v>
      </c>
      <c r="V65" s="154">
        <f>P66</f>
        <v>0.63808608310557691</v>
      </c>
      <c r="W65" s="299"/>
      <c r="X65" s="51" t="s">
        <v>234</v>
      </c>
      <c r="Y65" s="154">
        <f>+'Estados Finan + Estrategia'!O86/'Estados Finan + Estrategia'!O85</f>
        <v>0.59661048770371428</v>
      </c>
      <c r="Z65" s="299">
        <f>+S65-Y65</f>
        <v>6.8807433131011564E-2</v>
      </c>
      <c r="AA65" s="51" t="s">
        <v>234</v>
      </c>
      <c r="AB65" s="154">
        <f>S65-0.9%-2%</f>
        <v>0.63641792083472581</v>
      </c>
    </row>
    <row r="66" spans="1:28">
      <c r="A66" s="527" t="s">
        <v>214</v>
      </c>
      <c r="B66" s="528"/>
      <c r="C66" s="528"/>
      <c r="D66" s="528"/>
      <c r="E66" s="529"/>
      <c r="F66" s="342"/>
      <c r="G66" s="342"/>
      <c r="H66" s="342">
        <v>148992000</v>
      </c>
      <c r="I66" s="341">
        <v>719813000</v>
      </c>
      <c r="J66" s="341">
        <v>1008506060</v>
      </c>
      <c r="K66" s="133"/>
      <c r="L66" s="13"/>
      <c r="M66" s="13">
        <f t="shared" si="6"/>
        <v>0.6837882987902264</v>
      </c>
      <c r="N66" s="13">
        <f t="shared" si="6"/>
        <v>0.56505202969177826</v>
      </c>
      <c r="O66" s="13">
        <f t="shared" si="6"/>
        <v>0.66541792083472584</v>
      </c>
      <c r="P66" s="14">
        <f t="shared" ref="P66:P78" si="7">AVERAGE(M66:O66)</f>
        <v>0.63808608310557691</v>
      </c>
      <c r="Q66" s="299"/>
      <c r="R66" s="300" t="s">
        <v>235</v>
      </c>
      <c r="S66" s="154">
        <f>O68+O69</f>
        <v>0.43349716712641312</v>
      </c>
      <c r="T66" s="286"/>
      <c r="U66" s="300" t="s">
        <v>235</v>
      </c>
      <c r="V66" s="154">
        <f>P68+P69</f>
        <v>0.39210279863664865</v>
      </c>
      <c r="W66" s="299"/>
      <c r="X66" s="300" t="s">
        <v>235</v>
      </c>
      <c r="Y66" s="154">
        <f>(+'Estados Finan + Estrategia'!O88+'Estados Finan + Estrategia'!O89)/'Estados Finan + Estrategia'!O85</f>
        <v>0.37337898420334703</v>
      </c>
      <c r="Z66" s="299">
        <f>+S66-Y66</f>
        <v>6.0118182923066088E-2</v>
      </c>
      <c r="AA66" s="300" t="s">
        <v>235</v>
      </c>
      <c r="AB66" s="154">
        <f>S66-0.9%-2.1%</f>
        <v>0.40349716712641309</v>
      </c>
    </row>
    <row r="67" spans="1:28">
      <c r="A67" s="524" t="s">
        <v>19</v>
      </c>
      <c r="B67" s="524"/>
      <c r="C67" s="524"/>
      <c r="D67" s="524"/>
      <c r="E67" s="524"/>
      <c r="F67" s="12"/>
      <c r="G67" s="12"/>
      <c r="H67" s="12">
        <f>H65-H66</f>
        <v>68900000</v>
      </c>
      <c r="I67" s="12">
        <f>I65-I66</f>
        <v>554075000</v>
      </c>
      <c r="J67" s="12">
        <f>J65-J66</f>
        <v>507091925</v>
      </c>
      <c r="K67" s="132"/>
      <c r="L67" s="14"/>
      <c r="M67" s="14">
        <f t="shared" si="6"/>
        <v>0.31621170120977365</v>
      </c>
      <c r="N67" s="14">
        <f t="shared" si="6"/>
        <v>0.43494797030822174</v>
      </c>
      <c r="O67" s="14">
        <f t="shared" si="6"/>
        <v>0.33458207916527416</v>
      </c>
      <c r="P67" s="14">
        <f t="shared" si="7"/>
        <v>0.36191391689442315</v>
      </c>
      <c r="R67" s="19" t="s">
        <v>236</v>
      </c>
      <c r="S67" s="19">
        <f>S65+S66</f>
        <v>1.0989150879611389</v>
      </c>
      <c r="T67" s="287"/>
      <c r="U67" s="19" t="s">
        <v>236</v>
      </c>
      <c r="V67" s="19">
        <f>V65+V66</f>
        <v>1.0301888817422256</v>
      </c>
      <c r="W67" s="128"/>
      <c r="X67" s="19" t="s">
        <v>236</v>
      </c>
      <c r="Y67" s="19">
        <f>Y65+Y66</f>
        <v>0.96998947190706131</v>
      </c>
      <c r="Z67" s="299"/>
      <c r="AA67" s="19" t="s">
        <v>236</v>
      </c>
      <c r="AB67" s="19">
        <f>AB65+AB66</f>
        <v>1.039915087961139</v>
      </c>
    </row>
    <row r="68" spans="1:28">
      <c r="A68" s="523" t="s">
        <v>215</v>
      </c>
      <c r="B68" s="523"/>
      <c r="C68" s="523"/>
      <c r="D68" s="523"/>
      <c r="E68" s="523"/>
      <c r="F68" s="342"/>
      <c r="G68" s="342"/>
      <c r="H68" s="342">
        <v>50704000</v>
      </c>
      <c r="I68" s="342">
        <v>410753000</v>
      </c>
      <c r="J68" s="342">
        <v>495859357</v>
      </c>
      <c r="K68" s="133"/>
      <c r="L68" s="13"/>
      <c r="M68" s="13">
        <f t="shared" si="6"/>
        <v>0.23270243974078902</v>
      </c>
      <c r="N68" s="13">
        <f t="shared" si="6"/>
        <v>0.32244043432389663</v>
      </c>
      <c r="O68" s="13">
        <f t="shared" si="6"/>
        <v>0.32717076817702417</v>
      </c>
      <c r="P68" s="14">
        <f t="shared" si="7"/>
        <v>0.29410454741390329</v>
      </c>
      <c r="Q68" s="299"/>
      <c r="R68" s="51" t="s">
        <v>369</v>
      </c>
      <c r="S68" s="19">
        <f>S64-S67</f>
        <v>-9.8915087961138903E-2</v>
      </c>
      <c r="T68" s="287"/>
      <c r="U68" s="51" t="s">
        <v>369</v>
      </c>
      <c r="V68" s="19">
        <f>V64-V67</f>
        <v>-3.018888174222556E-2</v>
      </c>
      <c r="W68" s="128"/>
      <c r="X68" s="51" t="s">
        <v>237</v>
      </c>
      <c r="Y68" s="19">
        <f>+Y64-Y67</f>
        <v>3.0010528092938693E-2</v>
      </c>
      <c r="AA68" s="51" t="s">
        <v>237</v>
      </c>
      <c r="AB68" s="19">
        <f>AB64-AB67</f>
        <v>-3.9915087961138962E-2</v>
      </c>
    </row>
    <row r="69" spans="1:28">
      <c r="A69" s="523" t="s">
        <v>216</v>
      </c>
      <c r="B69" s="523"/>
      <c r="C69" s="523"/>
      <c r="D69" s="523"/>
      <c r="E69" s="523"/>
      <c r="F69" s="342"/>
      <c r="G69" s="342"/>
      <c r="H69" s="342">
        <v>8416000</v>
      </c>
      <c r="I69" s="342">
        <v>189865000</v>
      </c>
      <c r="J69" s="342">
        <v>161148076</v>
      </c>
      <c r="K69" s="133"/>
      <c r="L69" s="13"/>
      <c r="M69" s="13">
        <f t="shared" si="6"/>
        <v>3.8624639729774382E-2</v>
      </c>
      <c r="N69" s="13">
        <f t="shared" si="6"/>
        <v>0.14904371498907282</v>
      </c>
      <c r="O69" s="13">
        <f t="shared" si="6"/>
        <v>0.10632639894938894</v>
      </c>
      <c r="P69" s="14">
        <f t="shared" si="7"/>
        <v>9.7998251222745372E-2</v>
      </c>
      <c r="Q69" s="299"/>
      <c r="R69" s="300" t="s">
        <v>238</v>
      </c>
      <c r="S69" s="154">
        <f>O72</f>
        <v>1.2113487337474917E-2</v>
      </c>
      <c r="T69" s="286"/>
      <c r="U69" s="300" t="s">
        <v>238</v>
      </c>
      <c r="V69" s="154">
        <f>P72</f>
        <v>5.4503439311476146E-3</v>
      </c>
      <c r="W69" s="299"/>
      <c r="X69" s="300" t="s">
        <v>238</v>
      </c>
      <c r="Y69" s="154">
        <f>+'Estados Finan + Estrategia'!O92/'Estados Finan + Estrategia'!O85</f>
        <v>5.4503439311476146E-3</v>
      </c>
      <c r="AA69" s="300" t="s">
        <v>238</v>
      </c>
      <c r="AB69" s="154">
        <f t="shared" ref="AB69:AB71" si="8">S69</f>
        <v>1.2113487337474917E-2</v>
      </c>
    </row>
    <row r="70" spans="1:28">
      <c r="A70" s="524" t="s">
        <v>20</v>
      </c>
      <c r="B70" s="524"/>
      <c r="C70" s="524"/>
      <c r="D70" s="524"/>
      <c r="E70" s="524"/>
      <c r="F70" s="12"/>
      <c r="G70" s="12"/>
      <c r="H70" s="12">
        <f>H67-H68-H69</f>
        <v>9780000</v>
      </c>
      <c r="I70" s="12">
        <f>I67-I68-I69</f>
        <v>-46543000</v>
      </c>
      <c r="J70" s="12">
        <f>J67-J68-J69</f>
        <v>-149915508</v>
      </c>
      <c r="K70" s="132"/>
      <c r="L70" s="14"/>
      <c r="M70" s="14">
        <f t="shared" si="6"/>
        <v>4.4884621739210248E-2</v>
      </c>
      <c r="N70" s="14">
        <f t="shared" si="6"/>
        <v>-3.6536179004747669E-2</v>
      </c>
      <c r="O70" s="14">
        <f t="shared" si="6"/>
        <v>-9.8915087961138987E-2</v>
      </c>
      <c r="P70" s="14">
        <f t="shared" si="7"/>
        <v>-3.0188881742225466E-2</v>
      </c>
      <c r="R70" s="300" t="s">
        <v>239</v>
      </c>
      <c r="S70" s="154">
        <f>O73+O74</f>
        <v>2.6772042719494644E-2</v>
      </c>
      <c r="T70" s="286"/>
      <c r="U70" s="300" t="s">
        <v>239</v>
      </c>
      <c r="V70" s="154">
        <f>P73+P74</f>
        <v>1.2974101446941499E-2</v>
      </c>
      <c r="W70" s="299"/>
      <c r="X70" s="300" t="s">
        <v>239</v>
      </c>
      <c r="Y70" s="154">
        <v>0</v>
      </c>
      <c r="AA70" s="300" t="s">
        <v>239</v>
      </c>
      <c r="AB70" s="154">
        <f t="shared" si="8"/>
        <v>2.6772042719494644E-2</v>
      </c>
    </row>
    <row r="71" spans="1:28">
      <c r="A71" s="525" t="s">
        <v>23</v>
      </c>
      <c r="B71" s="526"/>
      <c r="C71" s="526"/>
      <c r="D71" s="526"/>
      <c r="E71" s="526"/>
      <c r="F71" s="320"/>
      <c r="G71" s="320"/>
      <c r="H71" s="320"/>
      <c r="I71" s="320"/>
      <c r="J71" s="321"/>
      <c r="K71" s="28"/>
      <c r="L71" s="28"/>
      <c r="M71" s="316"/>
      <c r="N71" s="316"/>
      <c r="O71" s="319"/>
      <c r="P71" s="331"/>
      <c r="R71" s="300" t="s">
        <v>240</v>
      </c>
      <c r="S71" s="154">
        <f>P77</f>
        <v>5.1999183988207026E-3</v>
      </c>
      <c r="T71" s="286"/>
      <c r="U71" s="300" t="s">
        <v>240</v>
      </c>
      <c r="V71" s="154">
        <f>P77</f>
        <v>5.1999183988207026E-3</v>
      </c>
      <c r="W71" s="299"/>
      <c r="X71" s="300" t="s">
        <v>240</v>
      </c>
      <c r="Y71" s="154">
        <f>+'Estados Finan + Estrategia'!O97/'Estados Finan + Estrategia'!O85</f>
        <v>1.1702087767948489E-2</v>
      </c>
      <c r="AA71" s="300" t="s">
        <v>240</v>
      </c>
      <c r="AB71" s="154">
        <f t="shared" si="8"/>
        <v>5.1999183988207026E-3</v>
      </c>
    </row>
    <row r="72" spans="1:28">
      <c r="A72" s="523" t="s">
        <v>217</v>
      </c>
      <c r="B72" s="523"/>
      <c r="C72" s="523"/>
      <c r="D72" s="523"/>
      <c r="E72" s="523"/>
      <c r="F72" s="341"/>
      <c r="G72" s="341"/>
      <c r="H72" s="341">
        <v>12000</v>
      </c>
      <c r="I72" s="342">
        <v>5328000</v>
      </c>
      <c r="J72" s="342">
        <v>18359177</v>
      </c>
      <c r="K72" s="133"/>
      <c r="L72" s="13"/>
      <c r="M72" s="13">
        <f t="shared" ref="M72:O74" si="9">H72/H$65</f>
        <v>5.507315550823344E-5</v>
      </c>
      <c r="N72" s="13">
        <f t="shared" si="9"/>
        <v>4.1824713004596954E-3</v>
      </c>
      <c r="O72" s="13">
        <f t="shared" si="9"/>
        <v>1.2113487337474917E-2</v>
      </c>
      <c r="P72" s="14">
        <f t="shared" si="7"/>
        <v>5.4503439311476146E-3</v>
      </c>
      <c r="R72" s="51" t="s">
        <v>241</v>
      </c>
      <c r="S72" s="19">
        <f>S68+S69-S70-S71</f>
        <v>-0.11877356174197932</v>
      </c>
      <c r="T72" s="287"/>
      <c r="U72" s="51" t="s">
        <v>241</v>
      </c>
      <c r="V72" s="19">
        <f>V68+V69-V70-V71</f>
        <v>-4.2912557656840149E-2</v>
      </c>
      <c r="W72" s="128"/>
      <c r="X72" s="51" t="s">
        <v>241</v>
      </c>
      <c r="Y72" s="19">
        <f>+Y68+Y69-Y70-Y71</f>
        <v>2.3758784256137817E-2</v>
      </c>
      <c r="AA72" s="51" t="s">
        <v>241</v>
      </c>
      <c r="AB72" s="19">
        <f>AB68+AB69-AB70-AB71</f>
        <v>-5.977356174197939E-2</v>
      </c>
    </row>
    <row r="73" spans="1:28">
      <c r="A73" s="523" t="s">
        <v>218</v>
      </c>
      <c r="B73" s="523"/>
      <c r="C73" s="523"/>
      <c r="D73" s="523"/>
      <c r="E73" s="523"/>
      <c r="F73" s="342"/>
      <c r="G73" s="342"/>
      <c r="H73" s="342">
        <v>0</v>
      </c>
      <c r="I73" s="342">
        <v>0</v>
      </c>
      <c r="J73" s="342">
        <v>0</v>
      </c>
      <c r="K73" s="133"/>
      <c r="L73" s="13"/>
      <c r="M73" s="13">
        <f t="shared" si="9"/>
        <v>0</v>
      </c>
      <c r="N73" s="13">
        <f t="shared" si="9"/>
        <v>0</v>
      </c>
      <c r="O73" s="13">
        <f t="shared" si="9"/>
        <v>0</v>
      </c>
      <c r="P73" s="14">
        <f t="shared" si="7"/>
        <v>0</v>
      </c>
    </row>
    <row r="74" spans="1:28">
      <c r="A74" s="523" t="s">
        <v>219</v>
      </c>
      <c r="B74" s="523"/>
      <c r="C74" s="523"/>
      <c r="D74" s="523"/>
      <c r="E74" s="523"/>
      <c r="F74" s="342"/>
      <c r="G74" s="342"/>
      <c r="H74" s="342">
        <v>273000</v>
      </c>
      <c r="I74" s="342">
        <v>13882000</v>
      </c>
      <c r="J74" s="342">
        <v>40575654</v>
      </c>
      <c r="K74" s="133"/>
      <c r="L74" s="13"/>
      <c r="M74" s="13">
        <f t="shared" si="9"/>
        <v>1.2529142878123106E-3</v>
      </c>
      <c r="N74" s="13">
        <f t="shared" si="9"/>
        <v>1.0897347333517547E-2</v>
      </c>
      <c r="O74" s="13">
        <f t="shared" si="9"/>
        <v>2.6772042719494644E-2</v>
      </c>
      <c r="P74" s="14">
        <f t="shared" si="7"/>
        <v>1.2974101446941499E-2</v>
      </c>
      <c r="R74" s="297"/>
    </row>
    <row r="75" spans="1:28">
      <c r="A75" s="525" t="s">
        <v>24</v>
      </c>
      <c r="B75" s="526"/>
      <c r="C75" s="526"/>
      <c r="D75" s="526"/>
      <c r="E75" s="526"/>
      <c r="F75" s="320"/>
      <c r="G75" s="320"/>
      <c r="H75" s="320"/>
      <c r="I75" s="320"/>
      <c r="J75" s="321"/>
      <c r="K75" s="28"/>
      <c r="L75" s="28"/>
      <c r="M75" s="316"/>
      <c r="N75" s="316"/>
      <c r="O75" s="319"/>
      <c r="P75" s="331"/>
    </row>
    <row r="76" spans="1:28">
      <c r="A76" s="524" t="s">
        <v>21</v>
      </c>
      <c r="B76" s="524"/>
      <c r="C76" s="524"/>
      <c r="D76" s="524"/>
      <c r="E76" s="524"/>
      <c r="F76" s="12"/>
      <c r="G76" s="12"/>
      <c r="H76" s="12">
        <f>H70+H72-H73-H74</f>
        <v>9519000</v>
      </c>
      <c r="I76" s="12">
        <f>I70+I72-I73-I74</f>
        <v>-55097000</v>
      </c>
      <c r="J76" s="12">
        <f>J70+J72-J73-J74</f>
        <v>-172131985</v>
      </c>
      <c r="K76" s="132"/>
      <c r="L76" s="14"/>
      <c r="M76" s="14">
        <f t="shared" ref="M76:O78" si="10">H76/H$65</f>
        <v>4.3686780606906173E-2</v>
      </c>
      <c r="N76" s="14">
        <f t="shared" si="10"/>
        <v>-4.3251055037805519E-2</v>
      </c>
      <c r="O76" s="14">
        <f t="shared" si="10"/>
        <v>-0.11357364334315871</v>
      </c>
      <c r="P76" s="14">
        <f t="shared" si="7"/>
        <v>-3.7712639258019355E-2</v>
      </c>
      <c r="R76" s="281"/>
    </row>
    <row r="77" spans="1:28">
      <c r="A77" s="523" t="s">
        <v>220</v>
      </c>
      <c r="B77" s="523"/>
      <c r="C77" s="523"/>
      <c r="D77" s="523"/>
      <c r="E77" s="523"/>
      <c r="F77" s="342"/>
      <c r="G77" s="342"/>
      <c r="H77" s="342">
        <v>3320000</v>
      </c>
      <c r="I77" s="342">
        <v>221000</v>
      </c>
      <c r="J77" s="342">
        <v>287000</v>
      </c>
      <c r="K77" s="133"/>
      <c r="L77" s="13"/>
      <c r="M77" s="13">
        <f t="shared" si="10"/>
        <v>1.5236906357277917E-2</v>
      </c>
      <c r="N77" s="13">
        <f t="shared" si="10"/>
        <v>1.7348463915195056E-4</v>
      </c>
      <c r="O77" s="13">
        <f t="shared" si="10"/>
        <v>1.8936420003224009E-4</v>
      </c>
      <c r="P77" s="14">
        <f t="shared" si="7"/>
        <v>5.1999183988207026E-3</v>
      </c>
    </row>
    <row r="78" spans="1:28">
      <c r="A78" s="524" t="s">
        <v>221</v>
      </c>
      <c r="B78" s="524"/>
      <c r="C78" s="524"/>
      <c r="D78" s="524"/>
      <c r="E78" s="524"/>
      <c r="F78" s="12"/>
      <c r="G78" s="12"/>
      <c r="H78" s="12">
        <f>H76-H77</f>
        <v>6199000</v>
      </c>
      <c r="I78" s="12">
        <f>I76-I77</f>
        <v>-55318000</v>
      </c>
      <c r="J78" s="12">
        <f>J76-J77</f>
        <v>-172418985</v>
      </c>
      <c r="K78" s="132"/>
      <c r="L78" s="14"/>
      <c r="M78" s="14">
        <f t="shared" si="10"/>
        <v>2.8449874249628256E-2</v>
      </c>
      <c r="N78" s="14">
        <f t="shared" si="10"/>
        <v>-4.3424539676957474E-2</v>
      </c>
      <c r="O78" s="14">
        <f t="shared" si="10"/>
        <v>-0.11376300754319095</v>
      </c>
      <c r="P78" s="14">
        <f t="shared" si="7"/>
        <v>-4.2912557656840052E-2</v>
      </c>
    </row>
    <row r="79" spans="1:28">
      <c r="G79" s="160"/>
      <c r="H79" s="160"/>
      <c r="I79" s="160"/>
      <c r="J79" s="160"/>
      <c r="K79" s="301"/>
      <c r="L79" s="301"/>
      <c r="M79" s="301"/>
      <c r="N79" s="301"/>
      <c r="O79" s="301"/>
    </row>
    <row r="81" spans="1:10" ht="15" thickBot="1">
      <c r="F81" s="302"/>
    </row>
    <row r="82" spans="1:10" ht="15" thickBot="1">
      <c r="A82" s="343" t="s">
        <v>222</v>
      </c>
      <c r="B82" s="332"/>
      <c r="C82" s="332"/>
      <c r="D82" s="332"/>
      <c r="E82" s="332"/>
      <c r="F82" s="333"/>
      <c r="G82" s="333"/>
      <c r="H82" s="333">
        <f>H63</f>
        <v>2017</v>
      </c>
      <c r="I82" s="333">
        <f>I63</f>
        <v>2018</v>
      </c>
      <c r="J82" s="334">
        <f>J63</f>
        <v>2019</v>
      </c>
    </row>
    <row r="83" spans="1:10">
      <c r="A83" s="344" t="s">
        <v>223</v>
      </c>
      <c r="B83" s="42"/>
      <c r="C83" s="42"/>
      <c r="D83" s="42"/>
      <c r="E83" s="42"/>
      <c r="F83" s="345"/>
      <c r="G83" s="345"/>
      <c r="H83" s="345">
        <v>722000</v>
      </c>
      <c r="I83" s="345">
        <v>12019000</v>
      </c>
      <c r="J83" s="346">
        <v>10589174</v>
      </c>
    </row>
    <row r="84" spans="1:10" ht="15" thickBot="1">
      <c r="A84" s="347" t="s">
        <v>224</v>
      </c>
      <c r="B84" s="294"/>
      <c r="C84" s="294"/>
      <c r="D84" s="294"/>
      <c r="E84" s="294"/>
      <c r="F84" s="348"/>
      <c r="G84" s="348"/>
      <c r="H84" s="348">
        <v>0</v>
      </c>
      <c r="I84" s="349">
        <v>76000</v>
      </c>
      <c r="J84" s="350">
        <v>1839800</v>
      </c>
    </row>
    <row r="86" spans="1:10" ht="13.8" customHeight="1"/>
    <row r="87" spans="1:10" s="288" customFormat="1">
      <c r="A87" s="519" t="s">
        <v>374</v>
      </c>
      <c r="B87" s="519"/>
    </row>
    <row r="88" spans="1:10" s="288" customFormat="1">
      <c r="A88" s="459"/>
    </row>
    <row r="89" spans="1:10" s="288" customFormat="1"/>
    <row r="90" spans="1:10" s="288" customFormat="1">
      <c r="A90" s="459" t="s">
        <v>267</v>
      </c>
      <c r="B90" s="459">
        <v>2017</v>
      </c>
      <c r="C90" s="459">
        <v>2018</v>
      </c>
      <c r="D90" s="459">
        <v>2019</v>
      </c>
    </row>
    <row r="91" spans="1:10" s="288" customFormat="1">
      <c r="A91" s="463" t="s">
        <v>268</v>
      </c>
      <c r="B91" s="460">
        <f>+H78</f>
        <v>6199000</v>
      </c>
      <c r="C91" s="460">
        <f>+I78</f>
        <v>-55318000</v>
      </c>
      <c r="D91" s="460">
        <f>+J78</f>
        <v>-172418985</v>
      </c>
    </row>
    <row r="92" spans="1:10" s="288" customFormat="1">
      <c r="A92" s="463" t="s">
        <v>269</v>
      </c>
      <c r="B92" s="460">
        <f>+H77</f>
        <v>3320000</v>
      </c>
      <c r="C92" s="460">
        <f>+I77</f>
        <v>221000</v>
      </c>
      <c r="D92" s="460">
        <f>+J77</f>
        <v>287000</v>
      </c>
    </row>
    <row r="93" spans="1:10" s="288" customFormat="1">
      <c r="A93" s="463" t="s">
        <v>270</v>
      </c>
      <c r="B93" s="460">
        <f>+H74</f>
        <v>273000</v>
      </c>
      <c r="C93" s="460">
        <f>+I74</f>
        <v>13882000</v>
      </c>
      <c r="D93" s="460">
        <f>+J74</f>
        <v>40575654</v>
      </c>
    </row>
    <row r="94" spans="1:10" s="288" customFormat="1">
      <c r="A94" s="459" t="s">
        <v>80</v>
      </c>
      <c r="B94" s="464">
        <f>+B91+B92+B93</f>
        <v>9792000</v>
      </c>
      <c r="C94" s="464">
        <f t="shared" ref="C94:D94" si="11">+C91+C92+C93</f>
        <v>-41215000</v>
      </c>
      <c r="D94" s="464">
        <f t="shared" si="11"/>
        <v>-131556331</v>
      </c>
    </row>
    <row r="95" spans="1:10" s="288" customFormat="1">
      <c r="A95" s="463" t="s">
        <v>223</v>
      </c>
      <c r="B95" s="460">
        <f t="shared" ref="B95:D96" si="12">+H83</f>
        <v>722000</v>
      </c>
      <c r="C95" s="460">
        <f t="shared" si="12"/>
        <v>12019000</v>
      </c>
      <c r="D95" s="460">
        <f t="shared" si="12"/>
        <v>10589174</v>
      </c>
    </row>
    <row r="96" spans="1:10" s="288" customFormat="1">
      <c r="A96" s="463" t="s">
        <v>224</v>
      </c>
      <c r="B96" s="460">
        <f t="shared" si="12"/>
        <v>0</v>
      </c>
      <c r="C96" s="460">
        <f t="shared" si="12"/>
        <v>76000</v>
      </c>
      <c r="D96" s="460">
        <f t="shared" si="12"/>
        <v>1839800</v>
      </c>
      <c r="E96" s="459" t="s">
        <v>231</v>
      </c>
    </row>
    <row r="97" spans="1:5" s="288" customFormat="1">
      <c r="A97" s="459" t="s">
        <v>266</v>
      </c>
      <c r="B97" s="464">
        <f>+B94+B95+B96</f>
        <v>10514000</v>
      </c>
      <c r="C97" s="464">
        <f t="shared" ref="C97:D97" si="13">+C94+C95+C96</f>
        <v>-29120000</v>
      </c>
      <c r="D97" s="464">
        <f t="shared" si="13"/>
        <v>-119127357</v>
      </c>
      <c r="E97" s="464">
        <f>+AVERAGE(B97:D97)</f>
        <v>-45911119</v>
      </c>
    </row>
    <row r="98" spans="1:5" s="288" customFormat="1">
      <c r="A98" s="459"/>
      <c r="B98" s="459"/>
      <c r="C98" s="459"/>
      <c r="D98" s="459"/>
    </row>
    <row r="99" spans="1:5" s="288" customFormat="1"/>
    <row r="100" spans="1:5" s="288" customFormat="1">
      <c r="A100" s="459" t="s">
        <v>271</v>
      </c>
      <c r="B100" s="459">
        <v>2017</v>
      </c>
      <c r="C100" s="459">
        <v>2018</v>
      </c>
      <c r="D100" s="459">
        <v>2019</v>
      </c>
    </row>
    <row r="101" spans="1:5" s="288" customFormat="1">
      <c r="A101" s="463" t="s">
        <v>272</v>
      </c>
      <c r="B101" s="460">
        <f>+H70</f>
        <v>9780000</v>
      </c>
      <c r="C101" s="460">
        <f>+I70</f>
        <v>-46543000</v>
      </c>
      <c r="D101" s="460">
        <f>+J70</f>
        <v>-149915508</v>
      </c>
    </row>
    <row r="102" spans="1:5" s="288" customFormat="1">
      <c r="A102" s="463" t="s">
        <v>223</v>
      </c>
      <c r="B102" s="460">
        <f t="shared" ref="B102:D103" si="14">+H83</f>
        <v>722000</v>
      </c>
      <c r="C102" s="460">
        <f t="shared" si="14"/>
        <v>12019000</v>
      </c>
      <c r="D102" s="460">
        <f t="shared" si="14"/>
        <v>10589174</v>
      </c>
    </row>
    <row r="103" spans="1:5" s="288" customFormat="1">
      <c r="A103" s="463" t="s">
        <v>224</v>
      </c>
      <c r="B103" s="460">
        <f t="shared" si="14"/>
        <v>0</v>
      </c>
      <c r="C103" s="460">
        <f t="shared" si="14"/>
        <v>76000</v>
      </c>
      <c r="D103" s="460">
        <f t="shared" si="14"/>
        <v>1839800</v>
      </c>
      <c r="E103" s="459" t="s">
        <v>231</v>
      </c>
    </row>
    <row r="104" spans="1:5" s="288" customFormat="1">
      <c r="A104" s="459" t="s">
        <v>266</v>
      </c>
      <c r="B104" s="465">
        <f>B101+B102+B103</f>
        <v>10502000</v>
      </c>
      <c r="C104" s="465">
        <f t="shared" ref="C104:D104" si="15">C101+C102+C103</f>
        <v>-34448000</v>
      </c>
      <c r="D104" s="465">
        <f t="shared" si="15"/>
        <v>-137486534</v>
      </c>
      <c r="E104" s="464">
        <f>+AVERAGE(B104:D104)</f>
        <v>-53810844.666666664</v>
      </c>
    </row>
    <row r="105" spans="1:5" s="288" customFormat="1"/>
    <row r="106" spans="1:5" s="288" customFormat="1"/>
    <row r="107" spans="1:5" s="288" customFormat="1">
      <c r="A107" s="459"/>
      <c r="B107" s="459">
        <v>2017</v>
      </c>
      <c r="C107" s="459">
        <v>2018</v>
      </c>
      <c r="D107" s="459">
        <v>2019</v>
      </c>
    </row>
    <row r="108" spans="1:5" s="288" customFormat="1">
      <c r="A108" s="459" t="s">
        <v>29</v>
      </c>
      <c r="B108" s="460">
        <f>+H65</f>
        <v>217892000</v>
      </c>
      <c r="C108" s="460">
        <f>+I65</f>
        <v>1273888000</v>
      </c>
      <c r="D108" s="460">
        <f>+J65</f>
        <v>1515597985</v>
      </c>
    </row>
    <row r="109" spans="1:5" s="288" customFormat="1">
      <c r="A109" s="459" t="s">
        <v>30</v>
      </c>
      <c r="B109" s="460">
        <f>+B104</f>
        <v>10502000</v>
      </c>
      <c r="C109" s="460">
        <f t="shared" ref="C109:D109" si="16">+C104</f>
        <v>-34448000</v>
      </c>
      <c r="D109" s="460">
        <f t="shared" si="16"/>
        <v>-137486534</v>
      </c>
      <c r="E109" s="459" t="s">
        <v>231</v>
      </c>
    </row>
    <row r="110" spans="1:5" s="288" customFormat="1">
      <c r="A110" s="459" t="s">
        <v>273</v>
      </c>
      <c r="B110" s="466">
        <f>+B109/B108</f>
        <v>4.819818992895563E-2</v>
      </c>
      <c r="C110" s="466">
        <f t="shared" ref="C110:D110" si="17">+C109/C108</f>
        <v>-2.7041623753422592E-2</v>
      </c>
      <c r="D110" s="466">
        <f t="shared" si="17"/>
        <v>-9.0714381624095383E-2</v>
      </c>
      <c r="E110" s="467">
        <f>+AVERAGE(B110:D110)</f>
        <v>-2.3185938482854117E-2</v>
      </c>
    </row>
    <row r="111" spans="1:5" s="288" customFormat="1"/>
    <row r="112" spans="1:5" s="288" customFormat="1"/>
    <row r="113" spans="1:5" s="288" customFormat="1"/>
    <row r="114" spans="1:5" s="288" customFormat="1">
      <c r="A114" s="459" t="s">
        <v>274</v>
      </c>
      <c r="B114" s="459">
        <v>2017</v>
      </c>
      <c r="C114" s="459">
        <v>2018</v>
      </c>
      <c r="D114" s="459">
        <v>2019</v>
      </c>
    </row>
    <row r="115" spans="1:5" s="288" customFormat="1">
      <c r="A115" s="459" t="s">
        <v>275</v>
      </c>
      <c r="B115" s="460">
        <f t="shared" ref="B115:D116" si="18">+H19</f>
        <v>135108000</v>
      </c>
      <c r="C115" s="460">
        <f t="shared" si="18"/>
        <v>179266000</v>
      </c>
      <c r="D115" s="460">
        <f t="shared" si="18"/>
        <v>123679734</v>
      </c>
    </row>
    <row r="116" spans="1:5" s="288" customFormat="1">
      <c r="A116" s="459" t="s">
        <v>276</v>
      </c>
      <c r="B116" s="460">
        <f t="shared" si="18"/>
        <v>6148000</v>
      </c>
      <c r="C116" s="460">
        <f t="shared" si="18"/>
        <v>55834000</v>
      </c>
      <c r="D116" s="460">
        <f t="shared" si="18"/>
        <v>60622200</v>
      </c>
    </row>
    <row r="117" spans="1:5" s="288" customFormat="1">
      <c r="A117" s="459" t="s">
        <v>277</v>
      </c>
      <c r="B117" s="460">
        <f>+H35</f>
        <v>136248000</v>
      </c>
      <c r="C117" s="460">
        <f>+I35</f>
        <v>167772000</v>
      </c>
      <c r="D117" s="460">
        <f>+J35</f>
        <v>183137894</v>
      </c>
      <c r="E117" s="459" t="s">
        <v>231</v>
      </c>
    </row>
    <row r="118" spans="1:5" s="288" customFormat="1">
      <c r="A118" s="459" t="s">
        <v>278</v>
      </c>
      <c r="B118" s="464">
        <f>+B115+B116-B117</f>
        <v>5008000</v>
      </c>
      <c r="C118" s="464">
        <f t="shared" ref="C118" si="19">+C115+C116-C117</f>
        <v>67328000</v>
      </c>
      <c r="D118" s="464">
        <f>+D115+D116-D117</f>
        <v>1164040</v>
      </c>
      <c r="E118" s="464">
        <f>+AVERAGE(B118:D118)</f>
        <v>24500013.333333332</v>
      </c>
    </row>
    <row r="119" spans="1:5" s="288" customFormat="1"/>
    <row r="120" spans="1:5" s="288" customFormat="1">
      <c r="A120" s="459"/>
      <c r="B120" s="460"/>
      <c r="C120" s="460"/>
      <c r="D120" s="460"/>
    </row>
    <row r="121" spans="1:5" s="288" customFormat="1"/>
    <row r="122" spans="1:5" s="288" customFormat="1">
      <c r="B122" s="459">
        <v>2017</v>
      </c>
      <c r="C122" s="459">
        <v>2018</v>
      </c>
      <c r="D122" s="459">
        <v>2019</v>
      </c>
    </row>
    <row r="123" spans="1:5" s="288" customFormat="1">
      <c r="A123" s="459" t="s">
        <v>29</v>
      </c>
      <c r="B123" s="460">
        <f>+H65</f>
        <v>217892000</v>
      </c>
      <c r="C123" s="460">
        <f>+I65</f>
        <v>1273888000</v>
      </c>
      <c r="D123" s="460">
        <f>+J65</f>
        <v>1515597985</v>
      </c>
    </row>
    <row r="124" spans="1:5" s="288" customFormat="1">
      <c r="A124" s="459" t="s">
        <v>278</v>
      </c>
      <c r="B124" s="460">
        <f>+B118</f>
        <v>5008000</v>
      </c>
      <c r="C124" s="460">
        <f t="shared" ref="C124:D124" si="20">+C118</f>
        <v>67328000</v>
      </c>
      <c r="D124" s="460">
        <f t="shared" si="20"/>
        <v>1164040</v>
      </c>
    </row>
    <row r="125" spans="1:5" s="288" customFormat="1">
      <c r="A125" s="459" t="s">
        <v>279</v>
      </c>
      <c r="B125" s="468">
        <f>+B124/B123</f>
        <v>2.2983863565436087E-2</v>
      </c>
      <c r="C125" s="468">
        <f t="shared" ref="C125" si="21">+C124/C123</f>
        <v>5.2852370067070262E-2</v>
      </c>
      <c r="D125" s="468">
        <f>+D124/D123</f>
        <v>7.680400815523649E-4</v>
      </c>
      <c r="E125" s="459" t="s">
        <v>231</v>
      </c>
    </row>
    <row r="126" spans="1:5" s="288" customFormat="1">
      <c r="A126" s="459" t="s">
        <v>280</v>
      </c>
      <c r="B126" s="469">
        <f>+B125</f>
        <v>2.2983863565436087E-2</v>
      </c>
      <c r="C126" s="469">
        <f t="shared" ref="C126" si="22">+C125</f>
        <v>5.2852370067070262E-2</v>
      </c>
      <c r="D126" s="469">
        <f>+D125</f>
        <v>7.680400815523649E-4</v>
      </c>
      <c r="E126" s="470">
        <f>+AVERAGE(B126:D126)</f>
        <v>2.5534757904686237E-2</v>
      </c>
    </row>
    <row r="127" spans="1:5" s="288" customFormat="1"/>
    <row r="128" spans="1:5" s="288" customFormat="1"/>
    <row r="129" spans="1:5" s="288" customFormat="1">
      <c r="A129" s="459"/>
    </row>
    <row r="130" spans="1:5" s="288" customFormat="1">
      <c r="A130" s="459" t="s">
        <v>282</v>
      </c>
      <c r="B130" s="459">
        <v>2017</v>
      </c>
      <c r="C130" s="459">
        <v>2018</v>
      </c>
      <c r="D130" s="459">
        <v>2019</v>
      </c>
    </row>
    <row r="131" spans="1:5" s="288" customFormat="1">
      <c r="A131" s="459" t="s">
        <v>29</v>
      </c>
      <c r="B131" s="471">
        <f>+H65</f>
        <v>217892000</v>
      </c>
      <c r="C131" s="471">
        <f>+I65</f>
        <v>1273888000</v>
      </c>
      <c r="D131" s="471">
        <f>+J65</f>
        <v>1515597985</v>
      </c>
    </row>
    <row r="132" spans="1:5" s="288" customFormat="1">
      <c r="A132" s="459" t="s">
        <v>281</v>
      </c>
      <c r="B132" s="460">
        <f>+H29</f>
        <v>25278000</v>
      </c>
      <c r="C132" s="460">
        <f>+I29</f>
        <v>20453000</v>
      </c>
      <c r="D132" s="460">
        <f>+J29</f>
        <v>10657046</v>
      </c>
      <c r="E132" s="459" t="s">
        <v>231</v>
      </c>
    </row>
    <row r="133" spans="1:5" s="288" customFormat="1">
      <c r="A133" s="459" t="s">
        <v>282</v>
      </c>
      <c r="B133" s="472">
        <f>+B131/B132</f>
        <v>8.6198275179998411</v>
      </c>
      <c r="C133" s="472">
        <f t="shared" ref="C133:D133" si="23">+C131/C132</f>
        <v>62.283674766537914</v>
      </c>
      <c r="D133" s="472">
        <f t="shared" si="23"/>
        <v>142.21558065903065</v>
      </c>
      <c r="E133" s="470">
        <f>+AVERAGE(B133:D133)</f>
        <v>71.039694314522805</v>
      </c>
    </row>
    <row r="134" spans="1:5" s="288" customFormat="1"/>
    <row r="135" spans="1:5" s="288" customFormat="1"/>
    <row r="136" spans="1:5" s="288" customFormat="1">
      <c r="A136" s="459" t="s">
        <v>283</v>
      </c>
      <c r="B136" s="459">
        <v>2017</v>
      </c>
      <c r="C136" s="459">
        <v>2018</v>
      </c>
      <c r="D136" s="459">
        <v>2019</v>
      </c>
    </row>
    <row r="137" spans="1:5" s="288" customFormat="1">
      <c r="A137" s="459" t="s">
        <v>273</v>
      </c>
      <c r="B137" s="473">
        <f>+B110</f>
        <v>4.819818992895563E-2</v>
      </c>
      <c r="C137" s="473">
        <f t="shared" ref="C137:D137" si="24">+C110</f>
        <v>-2.7041623753422592E-2</v>
      </c>
      <c r="D137" s="473">
        <f t="shared" si="24"/>
        <v>-9.0714381624095383E-2</v>
      </c>
    </row>
    <row r="138" spans="1:5" s="288" customFormat="1">
      <c r="A138" s="459" t="s">
        <v>284</v>
      </c>
      <c r="B138" s="473">
        <f>+B126</f>
        <v>2.2983863565436087E-2</v>
      </c>
      <c r="C138" s="473">
        <f t="shared" ref="C138:D138" si="25">+C126</f>
        <v>5.2852370067070262E-2</v>
      </c>
      <c r="D138" s="473">
        <f t="shared" si="25"/>
        <v>7.680400815523649E-4</v>
      </c>
      <c r="E138" s="459" t="s">
        <v>231</v>
      </c>
    </row>
    <row r="139" spans="1:5" s="288" customFormat="1">
      <c r="A139" s="459" t="s">
        <v>285</v>
      </c>
      <c r="B139" s="474">
        <f>+B137/B138</f>
        <v>2.0970447284345051</v>
      </c>
      <c r="C139" s="474">
        <f t="shared" ref="C139:D139" si="26">+C137/C138</f>
        <v>-0.51164448669201523</v>
      </c>
      <c r="D139" s="474">
        <f t="shared" si="26"/>
        <v>-118.11152022267277</v>
      </c>
      <c r="E139" s="470">
        <f>+AVERAGE(B139:D139)</f>
        <v>-38.842039993643425</v>
      </c>
    </row>
    <row r="140" spans="1:5" s="288" customFormat="1"/>
    <row r="141" spans="1:5" s="288" customFormat="1"/>
    <row r="142" spans="1:5" s="288" customFormat="1">
      <c r="A142" s="459" t="s">
        <v>286</v>
      </c>
      <c r="B142" s="459">
        <v>2017</v>
      </c>
      <c r="C142" s="459">
        <v>2018</v>
      </c>
      <c r="D142" s="459">
        <v>2019</v>
      </c>
    </row>
    <row r="143" spans="1:5" s="288" customFormat="1">
      <c r="A143" s="459" t="s">
        <v>287</v>
      </c>
      <c r="B143" s="472">
        <f>+H70</f>
        <v>9780000</v>
      </c>
      <c r="C143" s="472">
        <f>+I70</f>
        <v>-46543000</v>
      </c>
      <c r="D143" s="472">
        <f>+J70</f>
        <v>-149915508</v>
      </c>
    </row>
    <row r="144" spans="1:5" s="288" customFormat="1">
      <c r="A144" s="288" t="s">
        <v>288</v>
      </c>
      <c r="B144" s="472">
        <f>+H77</f>
        <v>3320000</v>
      </c>
      <c r="C144" s="472">
        <f>+I77</f>
        <v>221000</v>
      </c>
      <c r="D144" s="472">
        <f>+J77</f>
        <v>287000</v>
      </c>
    </row>
    <row r="145" spans="1:9" s="288" customFormat="1">
      <c r="A145" s="459" t="s">
        <v>289</v>
      </c>
      <c r="B145" s="472">
        <f>+B143-B144</f>
        <v>6460000</v>
      </c>
      <c r="C145" s="472">
        <f t="shared" ref="C145:D145" si="27">+C143-C144</f>
        <v>-46764000</v>
      </c>
      <c r="D145" s="472">
        <f t="shared" si="27"/>
        <v>-150202508</v>
      </c>
    </row>
    <row r="146" spans="1:9" s="288" customFormat="1">
      <c r="A146" s="288" t="s">
        <v>290</v>
      </c>
      <c r="B146" s="472">
        <f t="shared" ref="B146:D147" si="28">+H83</f>
        <v>722000</v>
      </c>
      <c r="C146" s="472">
        <f t="shared" si="28"/>
        <v>12019000</v>
      </c>
      <c r="D146" s="472">
        <f t="shared" si="28"/>
        <v>10589174</v>
      </c>
    </row>
    <row r="147" spans="1:9" s="288" customFormat="1">
      <c r="A147" s="288" t="s">
        <v>291</v>
      </c>
      <c r="B147" s="472">
        <f t="shared" si="28"/>
        <v>0</v>
      </c>
      <c r="C147" s="472">
        <f t="shared" si="28"/>
        <v>76000</v>
      </c>
      <c r="D147" s="472">
        <f t="shared" si="28"/>
        <v>1839800</v>
      </c>
    </row>
    <row r="148" spans="1:9" s="288" customFormat="1">
      <c r="A148" s="459" t="s">
        <v>350</v>
      </c>
      <c r="B148" s="472">
        <f>+B145+B146+B147</f>
        <v>7182000</v>
      </c>
      <c r="C148" s="472">
        <f t="shared" ref="C148:D148" si="29">+C145+C146+C147</f>
        <v>-34669000</v>
      </c>
      <c r="D148" s="472">
        <f t="shared" si="29"/>
        <v>-137773534</v>
      </c>
    </row>
    <row r="149" spans="1:9" s="288" customFormat="1">
      <c r="A149" s="288" t="s">
        <v>292</v>
      </c>
      <c r="B149" s="475"/>
      <c r="C149" s="472">
        <f>+C124-B124</f>
        <v>62320000</v>
      </c>
      <c r="D149" s="472">
        <f>+D124-C124</f>
        <v>-66163960</v>
      </c>
    </row>
    <row r="150" spans="1:9" s="288" customFormat="1">
      <c r="A150" s="288" t="s">
        <v>293</v>
      </c>
      <c r="C150" s="472">
        <f>+I26-H26</f>
        <v>-4825000</v>
      </c>
      <c r="D150" s="472">
        <f>+J26-I26</f>
        <v>-9795954</v>
      </c>
    </row>
    <row r="151" spans="1:9" s="288" customFormat="1">
      <c r="A151" s="459" t="s">
        <v>294</v>
      </c>
      <c r="B151" s="472">
        <f>+B148-B149-B150</f>
        <v>7182000</v>
      </c>
      <c r="C151" s="472">
        <f t="shared" ref="C151" si="30">+C148-C149-C150</f>
        <v>-92164000</v>
      </c>
      <c r="D151" s="472">
        <f>+D148-D149-D150</f>
        <v>-61813620</v>
      </c>
    </row>
    <row r="152" spans="1:9" s="288" customFormat="1"/>
    <row r="153" spans="1:9" s="288" customFormat="1">
      <c r="I153" s="288" t="s">
        <v>233</v>
      </c>
    </row>
    <row r="154" spans="1:9" s="288" customFormat="1">
      <c r="A154" s="519" t="s">
        <v>295</v>
      </c>
      <c r="B154" s="519"/>
    </row>
    <row r="155" spans="1:9" s="288" customFormat="1">
      <c r="A155" s="459"/>
    </row>
    <row r="156" spans="1:9" s="288" customFormat="1">
      <c r="A156" s="459" t="s">
        <v>296</v>
      </c>
      <c r="B156" s="459">
        <v>2017</v>
      </c>
      <c r="C156" s="459">
        <v>2018</v>
      </c>
      <c r="D156" s="459">
        <v>2019</v>
      </c>
    </row>
    <row r="157" spans="1:9" s="288" customFormat="1">
      <c r="A157" s="459" t="s">
        <v>130</v>
      </c>
      <c r="B157" s="475">
        <f>+H31</f>
        <v>169412000</v>
      </c>
      <c r="C157" s="475">
        <f>+I31</f>
        <v>266738000</v>
      </c>
      <c r="D157" s="475">
        <f>+J31</f>
        <v>276941073</v>
      </c>
    </row>
    <row r="158" spans="1:9" s="288" customFormat="1">
      <c r="A158" s="459" t="s">
        <v>268</v>
      </c>
      <c r="B158" s="476">
        <f>+H78</f>
        <v>6199000</v>
      </c>
      <c r="C158" s="476">
        <f>+I78</f>
        <v>-55318000</v>
      </c>
      <c r="D158" s="476">
        <f>+J78</f>
        <v>-172418985</v>
      </c>
      <c r="E158" s="459" t="s">
        <v>231</v>
      </c>
    </row>
    <row r="159" spans="1:9" s="288" customFormat="1">
      <c r="A159" s="459" t="s">
        <v>296</v>
      </c>
      <c r="B159" s="469">
        <f>+B158/B157</f>
        <v>3.659126862323802E-2</v>
      </c>
      <c r="C159" s="469">
        <f t="shared" ref="C159:D159" si="31">+C158/C157</f>
        <v>-0.20738702397108774</v>
      </c>
      <c r="D159" s="469">
        <f t="shared" si="31"/>
        <v>-0.62258365338246524</v>
      </c>
      <c r="E159" s="469">
        <f>+AVERAGE(B159:D159)</f>
        <v>-0.26445980291010501</v>
      </c>
    </row>
    <row r="160" spans="1:9" s="288" customFormat="1"/>
    <row r="161" spans="1:5" s="288" customFormat="1">
      <c r="B161" s="288" t="s">
        <v>297</v>
      </c>
      <c r="C161" s="477">
        <f>+MAX(B159:E159)</f>
        <v>3.659126862323802E-2</v>
      </c>
    </row>
    <row r="162" spans="1:5" s="288" customFormat="1">
      <c r="B162" s="288" t="s">
        <v>298</v>
      </c>
      <c r="C162" s="477">
        <f>+MIN(B159:E159)</f>
        <v>-0.62258365338246524</v>
      </c>
    </row>
    <row r="163" spans="1:5" s="288" customFormat="1"/>
    <row r="164" spans="1:5" s="288" customFormat="1">
      <c r="A164" s="459" t="s">
        <v>296</v>
      </c>
      <c r="B164" s="478">
        <f>+E159</f>
        <v>-0.26445980291010501</v>
      </c>
      <c r="C164" s="478">
        <f>+B164</f>
        <v>-0.26445980291010501</v>
      </c>
      <c r="D164" s="478">
        <f>+C164</f>
        <v>-0.26445980291010501</v>
      </c>
    </row>
    <row r="165" spans="1:5" s="288" customFormat="1">
      <c r="A165" s="459" t="s">
        <v>299</v>
      </c>
      <c r="B165" s="469">
        <f>+E193</f>
        <v>-0.62699714951724828</v>
      </c>
      <c r="C165" s="469">
        <f>+B165</f>
        <v>-0.62699714951724828</v>
      </c>
      <c r="D165" s="469">
        <f>+C165</f>
        <v>-0.62699714951724828</v>
      </c>
    </row>
    <row r="166" spans="1:5" s="288" customFormat="1">
      <c r="A166" s="459" t="s">
        <v>351</v>
      </c>
      <c r="B166" s="478">
        <f>+B164-B165</f>
        <v>0.36253734660714326</v>
      </c>
      <c r="C166" s="478">
        <f t="shared" ref="C166:D166" si="32">+C164-C165</f>
        <v>0.36253734660714326</v>
      </c>
      <c r="D166" s="478">
        <f t="shared" si="32"/>
        <v>0.36253734660714326</v>
      </c>
    </row>
    <row r="167" spans="1:5" s="288" customFormat="1"/>
    <row r="168" spans="1:5" s="288" customFormat="1"/>
    <row r="169" spans="1:5" s="288" customFormat="1">
      <c r="A169" s="459"/>
    </row>
    <row r="170" spans="1:5" s="288" customFormat="1">
      <c r="A170" s="459"/>
    </row>
    <row r="171" spans="1:5" s="288" customFormat="1">
      <c r="A171" s="459" t="s">
        <v>300</v>
      </c>
      <c r="B171" s="459">
        <v>2017</v>
      </c>
      <c r="C171" s="459">
        <v>2018</v>
      </c>
      <c r="D171" s="459">
        <v>2019</v>
      </c>
    </row>
    <row r="172" spans="1:5" s="288" customFormat="1">
      <c r="A172" s="459" t="s">
        <v>272</v>
      </c>
      <c r="B172" s="476">
        <f>+H70</f>
        <v>9780000</v>
      </c>
      <c r="C172" s="476">
        <f>+I70</f>
        <v>-46543000</v>
      </c>
      <c r="D172" s="476">
        <f>+J70</f>
        <v>-149915508</v>
      </c>
    </row>
    <row r="173" spans="1:5" s="288" customFormat="1">
      <c r="A173" s="459" t="s">
        <v>301</v>
      </c>
      <c r="B173" s="469">
        <f>+H77/H76</f>
        <v>0.34877613194663304</v>
      </c>
      <c r="C173" s="469">
        <f>+I77/I76</f>
        <v>-4.0111076828139467E-3</v>
      </c>
      <c r="D173" s="469">
        <f>+J77/J76</f>
        <v>-1.6673252213991491E-3</v>
      </c>
      <c r="E173" s="459" t="s">
        <v>231</v>
      </c>
    </row>
    <row r="174" spans="1:5" s="288" customFormat="1">
      <c r="A174" s="459" t="s">
        <v>289</v>
      </c>
      <c r="B174" s="476">
        <f>+B172*(1-B173)</f>
        <v>6368969.4295619288</v>
      </c>
      <c r="C174" s="476">
        <f t="shared" ref="C174:D174" si="33">+C172*(1-C173)</f>
        <v>-46729688.984881215</v>
      </c>
      <c r="D174" s="476">
        <f t="shared" si="33"/>
        <v>-150165465.90756729</v>
      </c>
      <c r="E174" s="476">
        <f>+AVERAGE(B174:D174)</f>
        <v>-63508728.487628855</v>
      </c>
    </row>
    <row r="175" spans="1:5" s="288" customFormat="1"/>
    <row r="176" spans="1:5" s="288" customFormat="1">
      <c r="A176" s="459"/>
    </row>
    <row r="177" spans="1:5" s="288" customFormat="1">
      <c r="A177" s="459" t="s">
        <v>302</v>
      </c>
      <c r="B177" s="459">
        <v>2017</v>
      </c>
      <c r="C177" s="459">
        <v>2018</v>
      </c>
      <c r="D177" s="459">
        <v>2019</v>
      </c>
    </row>
    <row r="178" spans="1:5" s="288" customFormat="1">
      <c r="A178" s="459" t="s">
        <v>272</v>
      </c>
      <c r="B178" s="476">
        <f>+H70</f>
        <v>9780000</v>
      </c>
      <c r="C178" s="476">
        <f>+I70</f>
        <v>-46543000</v>
      </c>
      <c r="D178" s="476">
        <f>+J70</f>
        <v>-149915508</v>
      </c>
    </row>
    <row r="179" spans="1:5" s="288" customFormat="1">
      <c r="A179" s="459" t="s">
        <v>303</v>
      </c>
      <c r="E179" s="459" t="s">
        <v>231</v>
      </c>
    </row>
    <row r="180" spans="1:5" s="288" customFormat="1">
      <c r="A180" s="459" t="s">
        <v>289</v>
      </c>
      <c r="B180" s="476">
        <f>+B178*(1-B179)</f>
        <v>9780000</v>
      </c>
      <c r="C180" s="476">
        <f t="shared" ref="C180:D180" si="34">+C178*(1-C179)</f>
        <v>-46543000</v>
      </c>
      <c r="D180" s="476">
        <f t="shared" si="34"/>
        <v>-149915508</v>
      </c>
      <c r="E180" s="476">
        <f>+AVERAGE(B180:D180)</f>
        <v>-62226169.333333336</v>
      </c>
    </row>
    <row r="181" spans="1:5" s="288" customFormat="1"/>
    <row r="182" spans="1:5" s="288" customFormat="1">
      <c r="A182" s="459"/>
    </row>
    <row r="183" spans="1:5" s="288" customFormat="1">
      <c r="A183" s="459" t="s">
        <v>304</v>
      </c>
      <c r="B183" s="459">
        <v>2017</v>
      </c>
      <c r="C183" s="459">
        <v>2018</v>
      </c>
      <c r="D183" s="459">
        <v>2019</v>
      </c>
    </row>
    <row r="184" spans="1:5" s="288" customFormat="1">
      <c r="A184" s="459" t="s">
        <v>305</v>
      </c>
      <c r="B184" s="475">
        <f>+H22</f>
        <v>144134000</v>
      </c>
      <c r="C184" s="475">
        <f>+I22</f>
        <v>246285000</v>
      </c>
      <c r="D184" s="475">
        <f>+J22</f>
        <v>266284027</v>
      </c>
    </row>
    <row r="185" spans="1:5" s="288" customFormat="1">
      <c r="A185" s="459" t="s">
        <v>306</v>
      </c>
      <c r="B185" s="471">
        <f>+H26</f>
        <v>25278000</v>
      </c>
      <c r="C185" s="471">
        <f>+I26</f>
        <v>20453000</v>
      </c>
      <c r="D185" s="471">
        <f>+J26</f>
        <v>10657046</v>
      </c>
    </row>
    <row r="186" spans="1:5" s="288" customFormat="1">
      <c r="A186" s="459" t="s">
        <v>307</v>
      </c>
      <c r="B186" s="471">
        <f>+H35</f>
        <v>136248000</v>
      </c>
      <c r="C186" s="471">
        <f>+I35</f>
        <v>167772000</v>
      </c>
      <c r="D186" s="471">
        <f>+J35</f>
        <v>183137894</v>
      </c>
    </row>
    <row r="187" spans="1:5" s="288" customFormat="1">
      <c r="A187" s="459" t="s">
        <v>308</v>
      </c>
      <c r="B187" s="471">
        <f>+B184+B185-B186</f>
        <v>33164000</v>
      </c>
      <c r="C187" s="471">
        <f t="shared" ref="C187:D187" si="35">+C184+C185-C186</f>
        <v>98966000</v>
      </c>
      <c r="D187" s="471">
        <f t="shared" si="35"/>
        <v>93803179</v>
      </c>
    </row>
    <row r="188" spans="1:5" s="288" customFormat="1"/>
    <row r="189" spans="1:5" s="288" customFormat="1"/>
    <row r="190" spans="1:5" s="288" customFormat="1">
      <c r="A190" s="459" t="s">
        <v>299</v>
      </c>
      <c r="B190" s="459">
        <v>2017</v>
      </c>
      <c r="C190" s="459">
        <v>2018</v>
      </c>
      <c r="D190" s="459">
        <v>2019</v>
      </c>
    </row>
    <row r="191" spans="1:5" s="288" customFormat="1">
      <c r="A191" s="459" t="s">
        <v>289</v>
      </c>
      <c r="B191" s="476">
        <f>+B174</f>
        <v>6368969.4295619288</v>
      </c>
      <c r="C191" s="476">
        <f t="shared" ref="C191:D191" si="36">+C174</f>
        <v>-46729688.984881215</v>
      </c>
      <c r="D191" s="476">
        <f t="shared" si="36"/>
        <v>-150165465.90756729</v>
      </c>
    </row>
    <row r="192" spans="1:5" s="288" customFormat="1">
      <c r="A192" s="459" t="s">
        <v>308</v>
      </c>
      <c r="B192" s="471">
        <f>+B187</f>
        <v>33164000</v>
      </c>
      <c r="C192" s="471">
        <f t="shared" ref="C192:D192" si="37">+C187</f>
        <v>98966000</v>
      </c>
      <c r="D192" s="471">
        <f t="shared" si="37"/>
        <v>93803179</v>
      </c>
      <c r="E192" s="459" t="s">
        <v>231</v>
      </c>
    </row>
    <row r="193" spans="1:5" s="288" customFormat="1">
      <c r="A193" s="459" t="s">
        <v>299</v>
      </c>
      <c r="B193" s="469">
        <f>+B191/B192</f>
        <v>0.19204466980949009</v>
      </c>
      <c r="C193" s="469">
        <f t="shared" ref="C193:D193" si="38">+C191/C192</f>
        <v>-0.47217922301478504</v>
      </c>
      <c r="D193" s="469">
        <f t="shared" si="38"/>
        <v>-1.6008568953464497</v>
      </c>
      <c r="E193" s="479">
        <f>+AVERAGE(B193:D193)</f>
        <v>-0.62699714951724828</v>
      </c>
    </row>
    <row r="194" spans="1:5" s="288" customFormat="1"/>
    <row r="195" spans="1:5" s="288" customFormat="1"/>
    <row r="196" spans="1:5" s="288" customFormat="1"/>
    <row r="197" spans="1:5" s="288" customFormat="1"/>
    <row r="198" spans="1:5" s="288" customFormat="1"/>
    <row r="199" spans="1:5" s="288" customFormat="1">
      <c r="A199" s="519" t="s">
        <v>309</v>
      </c>
      <c r="B199" s="519"/>
      <c r="C199" s="519"/>
      <c r="D199" s="519"/>
    </row>
    <row r="200" spans="1:5" s="288" customFormat="1">
      <c r="A200" s="459" t="s">
        <v>310</v>
      </c>
      <c r="B200" s="459">
        <v>2017</v>
      </c>
      <c r="C200" s="459">
        <v>2018</v>
      </c>
      <c r="D200" s="459">
        <v>2019</v>
      </c>
    </row>
    <row r="201" spans="1:5" s="288" customFormat="1">
      <c r="A201" s="459" t="s">
        <v>311</v>
      </c>
    </row>
    <row r="202" spans="1:5" s="288" customFormat="1">
      <c r="A202" s="288" t="s">
        <v>312</v>
      </c>
      <c r="B202" s="461">
        <f>+H67/H65</f>
        <v>0.31621170120977365</v>
      </c>
      <c r="C202" s="461">
        <f>+I67/I65</f>
        <v>0.43494797030822174</v>
      </c>
      <c r="D202" s="461">
        <f>+J67/J65</f>
        <v>0.33458207916527416</v>
      </c>
      <c r="E202" s="288" t="s">
        <v>313</v>
      </c>
    </row>
    <row r="203" spans="1:5" s="288" customFormat="1">
      <c r="A203" s="288" t="s">
        <v>314</v>
      </c>
      <c r="B203" s="461">
        <f>+H70/H65</f>
        <v>4.4884621739210248E-2</v>
      </c>
      <c r="C203" s="461">
        <f>+I70/I65</f>
        <v>-3.6536179004747669E-2</v>
      </c>
      <c r="D203" s="461">
        <f>+J70/J65</f>
        <v>-9.8915087961138987E-2</v>
      </c>
      <c r="E203" s="288" t="s">
        <v>315</v>
      </c>
    </row>
    <row r="204" spans="1:5" s="288" customFormat="1">
      <c r="A204" s="288" t="s">
        <v>316</v>
      </c>
      <c r="B204" s="461">
        <f>+H78/H65</f>
        <v>2.8449874249628256E-2</v>
      </c>
      <c r="C204" s="461">
        <f>+I78/I65</f>
        <v>-4.3424539676957474E-2</v>
      </c>
      <c r="D204" s="461">
        <f>+J78/J65</f>
        <v>-0.11376300754319095</v>
      </c>
      <c r="E204" s="288" t="s">
        <v>317</v>
      </c>
    </row>
    <row r="205" spans="1:5" s="288" customFormat="1">
      <c r="A205" s="288" t="s">
        <v>318</v>
      </c>
      <c r="B205" s="461">
        <f>+H78/H53</f>
        <v>0.28833899251127959</v>
      </c>
      <c r="C205" s="461">
        <f>+I78/I53</f>
        <v>-0.92175159129536444</v>
      </c>
      <c r="D205" s="461">
        <f>+J78/J53</f>
        <v>1.5644667725608152</v>
      </c>
      <c r="E205" s="288" t="s">
        <v>319</v>
      </c>
    </row>
    <row r="206" spans="1:5" s="288" customFormat="1">
      <c r="B206" s="461"/>
      <c r="C206" s="461"/>
      <c r="D206" s="461"/>
    </row>
    <row r="207" spans="1:5" s="288" customFormat="1">
      <c r="B207" s="461"/>
      <c r="C207" s="461"/>
      <c r="D207" s="461"/>
    </row>
    <row r="208" spans="1:5" s="288" customFormat="1">
      <c r="A208" s="519" t="s">
        <v>309</v>
      </c>
      <c r="B208" s="519"/>
      <c r="C208" s="519"/>
      <c r="D208" s="519"/>
    </row>
    <row r="209" spans="1:5" s="288" customFormat="1">
      <c r="A209" s="459" t="s">
        <v>320</v>
      </c>
      <c r="B209" s="459">
        <f>B200</f>
        <v>2017</v>
      </c>
      <c r="C209" s="459">
        <f>C200</f>
        <v>2018</v>
      </c>
      <c r="D209" s="459">
        <f>D200</f>
        <v>2019</v>
      </c>
    </row>
    <row r="210" spans="1:5" s="288" customFormat="1">
      <c r="A210" s="288" t="s">
        <v>321</v>
      </c>
      <c r="B210" s="480">
        <f>+H22-H39</f>
        <v>1221000</v>
      </c>
      <c r="C210" s="480">
        <f>+I22-I39</f>
        <v>59561000</v>
      </c>
      <c r="D210" s="480">
        <f>+J22-J39</f>
        <v>14133528</v>
      </c>
      <c r="E210" s="288" t="s">
        <v>322</v>
      </c>
    </row>
    <row r="211" spans="1:5" s="288" customFormat="1">
      <c r="A211" s="288" t="s">
        <v>323</v>
      </c>
      <c r="B211" s="462">
        <f>+H22/H39</f>
        <v>1.0085436594291632</v>
      </c>
      <c r="C211" s="462">
        <f>+I22/I39</f>
        <v>1.3189788136500933</v>
      </c>
      <c r="D211" s="462">
        <f>+J22/J39</f>
        <v>1.0560519533217343</v>
      </c>
      <c r="E211" s="288" t="s">
        <v>324</v>
      </c>
    </row>
    <row r="212" spans="1:5" s="288" customFormat="1">
      <c r="A212" s="288" t="s">
        <v>325</v>
      </c>
      <c r="B212" s="462">
        <f>+(H22-H20)/H39</f>
        <v>0.965524479928348</v>
      </c>
      <c r="C212" s="462">
        <f>+(I22-I20)/I39</f>
        <v>1.0199599408753026</v>
      </c>
      <c r="D212" s="462">
        <f>+(J22-J20)/J39</f>
        <v>0.81563125123936397</v>
      </c>
      <c r="E212" s="288" t="s">
        <v>326</v>
      </c>
    </row>
    <row r="213" spans="1:5" s="288" customFormat="1">
      <c r="B213" s="462"/>
      <c r="C213" s="462"/>
      <c r="D213" s="462"/>
    </row>
    <row r="214" spans="1:5" s="288" customFormat="1">
      <c r="B214" s="462"/>
      <c r="C214" s="462"/>
      <c r="D214" s="462"/>
      <c r="E214" s="288" t="s">
        <v>327</v>
      </c>
    </row>
    <row r="215" spans="1:5" s="288" customFormat="1">
      <c r="A215" s="519" t="s">
        <v>309</v>
      </c>
      <c r="B215" s="519"/>
      <c r="C215" s="519"/>
      <c r="D215" s="519"/>
    </row>
    <row r="216" spans="1:5" s="288" customFormat="1">
      <c r="A216" s="459" t="s">
        <v>328</v>
      </c>
      <c r="B216" s="459">
        <f>B209</f>
        <v>2017</v>
      </c>
      <c r="C216" s="459">
        <f>C209</f>
        <v>2018</v>
      </c>
      <c r="D216" s="459">
        <f>D209</f>
        <v>2019</v>
      </c>
    </row>
    <row r="217" spans="1:5" s="288" customFormat="1">
      <c r="A217" s="288" t="s">
        <v>329</v>
      </c>
      <c r="B217" s="461">
        <f>+H46/H31</f>
        <v>0.87309635681061559</v>
      </c>
      <c r="C217" s="461">
        <f>+I46/I31</f>
        <v>0.77500768544414367</v>
      </c>
      <c r="D217" s="461">
        <f>+J46/J31</f>
        <v>1.3979526214950428</v>
      </c>
      <c r="E217" s="288" t="s">
        <v>330</v>
      </c>
    </row>
    <row r="218" spans="1:5" s="288" customFormat="1">
      <c r="A218" s="288" t="s">
        <v>331</v>
      </c>
      <c r="B218" s="461">
        <f>+H39/H46</f>
        <v>0.96619634514883745</v>
      </c>
      <c r="C218" s="461">
        <f>+I39/I46</f>
        <v>0.90325264604013078</v>
      </c>
      <c r="D218" s="461">
        <f>+J39/J46</f>
        <v>0.65129839597597938</v>
      </c>
      <c r="E218" s="288" t="s">
        <v>332</v>
      </c>
    </row>
    <row r="219" spans="1:5" s="288" customFormat="1">
      <c r="A219" s="288" t="s">
        <v>333</v>
      </c>
      <c r="B219" s="461">
        <f>+H44/H46</f>
        <v>3.3803654851162511E-2</v>
      </c>
      <c r="C219" s="461">
        <f>+I44/I46</f>
        <v>9.6747353959869192E-2</v>
      </c>
      <c r="D219" s="461">
        <f>+J44/J46</f>
        <v>0.34870160402402062</v>
      </c>
      <c r="E219" s="288" t="s">
        <v>334</v>
      </c>
    </row>
    <row r="220" spans="1:5" s="288" customFormat="1"/>
    <row r="221" spans="1:5" s="288" customFormat="1">
      <c r="A221" s="519" t="s">
        <v>335</v>
      </c>
      <c r="B221" s="519"/>
      <c r="C221" s="519"/>
      <c r="D221" s="519"/>
      <c r="E221" s="459"/>
    </row>
    <row r="222" spans="1:5" s="288" customFormat="1">
      <c r="A222" s="459" t="s">
        <v>336</v>
      </c>
      <c r="B222" s="459">
        <f>B216</f>
        <v>2017</v>
      </c>
      <c r="C222" s="459">
        <f>C216</f>
        <v>2018</v>
      </c>
      <c r="D222" s="459">
        <f>D216</f>
        <v>2019</v>
      </c>
    </row>
    <row r="223" spans="1:5" s="288" customFormat="1">
      <c r="A223" s="288" t="s">
        <v>337</v>
      </c>
      <c r="B223" s="481">
        <f>+H65/H53</f>
        <v>10.134983022466161</v>
      </c>
      <c r="C223" s="481">
        <f>+I65/I53</f>
        <v>21.226513813443528</v>
      </c>
      <c r="D223" s="481">
        <f>+J65/J53</f>
        <v>-13.751981477518992</v>
      </c>
      <c r="E223" s="288" t="s">
        <v>338</v>
      </c>
    </row>
    <row r="224" spans="1:5" s="288" customFormat="1">
      <c r="A224" s="288" t="s">
        <v>339</v>
      </c>
      <c r="B224" s="481">
        <f>+H65/H31</f>
        <v>1.286166269213515</v>
      </c>
      <c r="C224" s="481">
        <f>+I65/I31</f>
        <v>4.7758024728385156</v>
      </c>
      <c r="D224" s="481">
        <f>+J65/J31</f>
        <v>5.4726370797299539</v>
      </c>
      <c r="E224" s="288" t="s">
        <v>340</v>
      </c>
    </row>
    <row r="225" spans="1:5" s="288" customFormat="1">
      <c r="A225" s="288" t="s">
        <v>341</v>
      </c>
      <c r="B225" s="481">
        <f>+H65/H19</f>
        <v>1.6127246351067295</v>
      </c>
      <c r="C225" s="481">
        <f>+I65/I19</f>
        <v>7.1061327859159018</v>
      </c>
      <c r="D225" s="481">
        <f>+J65/J19</f>
        <v>12.254214461683755</v>
      </c>
      <c r="E225" s="288" t="s">
        <v>342</v>
      </c>
    </row>
    <row r="226" spans="1:5" s="288" customFormat="1">
      <c r="A226" s="288" t="s">
        <v>343</v>
      </c>
      <c r="B226" s="481">
        <f t="shared" ref="B226:D227" si="39">+(H19/H65)*365</f>
        <v>226.32506012152808</v>
      </c>
      <c r="C226" s="481">
        <f t="shared" si="39"/>
        <v>51.364083812705672</v>
      </c>
      <c r="D226" s="481">
        <f t="shared" si="39"/>
        <v>29.78567097395554</v>
      </c>
      <c r="E226" s="288" t="s">
        <v>344</v>
      </c>
    </row>
    <row r="227" spans="1:5" s="288" customFormat="1">
      <c r="A227" s="288" t="s">
        <v>352</v>
      </c>
      <c r="B227" s="481">
        <f t="shared" si="39"/>
        <v>15.061345575601374</v>
      </c>
      <c r="C227" s="481">
        <f t="shared" si="39"/>
        <v>28.312089389883202</v>
      </c>
      <c r="D227" s="481">
        <f t="shared" si="39"/>
        <v>21.940475994760014</v>
      </c>
      <c r="E227" s="288" t="s">
        <v>345</v>
      </c>
    </row>
    <row r="228" spans="1:5" s="288" customFormat="1">
      <c r="A228" s="288" t="s">
        <v>346</v>
      </c>
      <c r="B228" s="481">
        <f>+B226+B227</f>
        <v>241.38640569712945</v>
      </c>
      <c r="C228" s="481">
        <f t="shared" ref="C228:D228" si="40">+C226+C227</f>
        <v>79.67617320258887</v>
      </c>
      <c r="D228" s="481">
        <f t="shared" si="40"/>
        <v>51.726146968715554</v>
      </c>
      <c r="E228" s="288" t="s">
        <v>347</v>
      </c>
    </row>
    <row r="229" spans="1:5" s="288" customFormat="1">
      <c r="A229" s="288" t="s">
        <v>348</v>
      </c>
      <c r="B229" s="481">
        <f>+(H35/H66)*365</f>
        <v>333.77980025773195</v>
      </c>
      <c r="C229" s="481">
        <f>+(I35/I66)*365</f>
        <v>85.073178728364169</v>
      </c>
      <c r="D229" s="481">
        <f>+(J35/J66)*365</f>
        <v>66.28153658293337</v>
      </c>
      <c r="E229" s="288" t="s">
        <v>349</v>
      </c>
    </row>
    <row r="230" spans="1:5" s="288" customFormat="1"/>
    <row r="231" spans="1:5" s="288" customFormat="1"/>
    <row r="232" spans="1:5" s="288" customFormat="1"/>
    <row r="233" spans="1:5" s="288" customFormat="1">
      <c r="A233" s="459" t="s">
        <v>353</v>
      </c>
      <c r="B233" s="459">
        <f t="shared" ref="B233:D233" si="41">B222</f>
        <v>2017</v>
      </c>
      <c r="C233" s="459">
        <f t="shared" si="41"/>
        <v>2018</v>
      </c>
      <c r="D233" s="459">
        <f t="shared" si="41"/>
        <v>2019</v>
      </c>
    </row>
    <row r="234" spans="1:5" s="288" customFormat="1">
      <c r="A234" s="459" t="s">
        <v>354</v>
      </c>
      <c r="B234" s="482">
        <f t="shared" ref="B234:D234" si="42">B226</f>
        <v>226.32506012152808</v>
      </c>
      <c r="C234" s="482">
        <f t="shared" si="42"/>
        <v>51.364083812705672</v>
      </c>
      <c r="D234" s="482">
        <f t="shared" si="42"/>
        <v>29.78567097395554</v>
      </c>
      <c r="E234" s="469"/>
    </row>
    <row r="235" spans="1:5" s="288" customFormat="1">
      <c r="A235" s="459" t="s">
        <v>276</v>
      </c>
      <c r="B235" s="482">
        <f t="shared" ref="B235:D235" si="43">B227</f>
        <v>15.061345575601374</v>
      </c>
      <c r="C235" s="482">
        <f t="shared" si="43"/>
        <v>28.312089389883202</v>
      </c>
      <c r="D235" s="482">
        <f t="shared" si="43"/>
        <v>21.940475994760014</v>
      </c>
      <c r="E235" s="469"/>
    </row>
    <row r="236" spans="1:5" s="288" customFormat="1">
      <c r="A236" s="459" t="s">
        <v>204</v>
      </c>
      <c r="B236" s="482">
        <f t="shared" ref="B236:D236" si="44">B229</f>
        <v>333.77980025773195</v>
      </c>
      <c r="C236" s="482">
        <f t="shared" si="44"/>
        <v>85.073178728364169</v>
      </c>
      <c r="D236" s="482">
        <f t="shared" si="44"/>
        <v>66.28153658293337</v>
      </c>
      <c r="E236" s="469"/>
    </row>
    <row r="237" spans="1:5" s="288" customFormat="1">
      <c r="A237" s="459" t="s">
        <v>346</v>
      </c>
      <c r="B237" s="483">
        <f>B234+B235-B236</f>
        <v>-92.393394560602502</v>
      </c>
      <c r="C237" s="483">
        <f t="shared" ref="C237:D237" si="45">C234+C235-C236</f>
        <v>-5.3970055257752989</v>
      </c>
      <c r="D237" s="483">
        <f t="shared" si="45"/>
        <v>-14.555389614217816</v>
      </c>
      <c r="E237" s="469"/>
    </row>
    <row r="238" spans="1:5" s="288" customFormat="1"/>
    <row r="239" spans="1:5" s="288" customFormat="1"/>
    <row r="240" spans="1:5" s="288" customFormat="1" ht="28.8">
      <c r="A240" s="484" t="s">
        <v>355</v>
      </c>
      <c r="B240" s="484" t="s">
        <v>368</v>
      </c>
      <c r="C240" s="484" t="s">
        <v>365</v>
      </c>
      <c r="D240" s="484" t="s">
        <v>151</v>
      </c>
      <c r="E240" s="484" t="s">
        <v>358</v>
      </c>
    </row>
    <row r="241" spans="1:5" s="288" customFormat="1">
      <c r="A241" s="459" t="s">
        <v>356</v>
      </c>
      <c r="B241" s="485">
        <v>0.40439999999999998</v>
      </c>
      <c r="C241" s="485">
        <f>D202</f>
        <v>0.33458207916527416</v>
      </c>
      <c r="D241" s="485">
        <f>C241-B241</f>
        <v>-6.9817920834725822E-2</v>
      </c>
      <c r="E241" s="486" t="str">
        <f t="shared" ref="E241:E254" si="46">IF(C241&lt;B241,"Menor que Industria","Mayor que Industria")</f>
        <v>Menor que Industria</v>
      </c>
    </row>
    <row r="242" spans="1:5" s="288" customFormat="1">
      <c r="A242" s="459" t="s">
        <v>357</v>
      </c>
      <c r="B242" s="485">
        <v>0.10970000000000001</v>
      </c>
      <c r="C242" s="485">
        <f>D203</f>
        <v>-9.8915087961138987E-2</v>
      </c>
      <c r="D242" s="485">
        <f t="shared" ref="D242:D254" si="47">C242-B242</f>
        <v>-0.20861508796113898</v>
      </c>
      <c r="E242" s="486" t="str">
        <f t="shared" si="46"/>
        <v>Menor que Industria</v>
      </c>
    </row>
    <row r="243" spans="1:5" s="288" customFormat="1">
      <c r="A243" s="459" t="s">
        <v>241</v>
      </c>
      <c r="B243" s="485">
        <v>5.4699999999999999E-2</v>
      </c>
      <c r="C243" s="485">
        <f>D204</f>
        <v>-0.11376300754319095</v>
      </c>
      <c r="D243" s="485">
        <f t="shared" si="47"/>
        <v>-0.16846300754319093</v>
      </c>
      <c r="E243" s="486" t="str">
        <f t="shared" si="46"/>
        <v>Menor que Industria</v>
      </c>
    </row>
    <row r="244" spans="1:5" s="288" customFormat="1">
      <c r="A244" s="459" t="s">
        <v>273</v>
      </c>
      <c r="B244" s="485">
        <v>0.1469</v>
      </c>
      <c r="C244" s="485">
        <f>D110</f>
        <v>-9.0714381624095383E-2</v>
      </c>
      <c r="D244" s="485">
        <f t="shared" si="47"/>
        <v>-0.23761438162409537</v>
      </c>
      <c r="E244" s="486" t="str">
        <f t="shared" si="46"/>
        <v>Menor que Industria</v>
      </c>
    </row>
    <row r="245" spans="1:5" s="288" customFormat="1" hidden="1">
      <c r="A245" s="459" t="s">
        <v>359</v>
      </c>
      <c r="B245" s="485">
        <v>6.3700000000000007E-2</v>
      </c>
      <c r="C245" s="485">
        <f>+'Valoración Sin Estrategia'!F49</f>
        <v>0.38665560096802737</v>
      </c>
      <c r="D245" s="485">
        <f t="shared" si="47"/>
        <v>0.32295560096802733</v>
      </c>
      <c r="E245" s="486" t="str">
        <f t="shared" si="46"/>
        <v>Mayor que Industria</v>
      </c>
    </row>
    <row r="246" spans="1:5" s="288" customFormat="1" hidden="1">
      <c r="A246" s="459" t="s">
        <v>366</v>
      </c>
      <c r="B246" s="485">
        <v>0.16389999999999999</v>
      </c>
      <c r="C246" s="485">
        <f>+'Valoración Sin Estrategia'!F40</f>
        <v>5.4456181611607706</v>
      </c>
      <c r="D246" s="485">
        <f t="shared" si="47"/>
        <v>5.2817181611607706</v>
      </c>
      <c r="E246" s="486" t="str">
        <f t="shared" si="46"/>
        <v>Mayor que Industria</v>
      </c>
    </row>
    <row r="247" spans="1:5" s="288" customFormat="1" hidden="1">
      <c r="A247" s="459" t="s">
        <v>367</v>
      </c>
      <c r="B247" s="485">
        <v>0.83609999999999995</v>
      </c>
      <c r="C247" s="485">
        <f>+'Valoración Sin Estrategia'!F41</f>
        <v>-4.4456181611607706</v>
      </c>
      <c r="D247" s="485">
        <f t="shared" si="47"/>
        <v>-5.2817181611607706</v>
      </c>
      <c r="E247" s="486" t="str">
        <f t="shared" si="46"/>
        <v>Menor que Industria</v>
      </c>
    </row>
    <row r="248" spans="1:5" s="288" customFormat="1" hidden="1">
      <c r="A248" s="459" t="s">
        <v>360</v>
      </c>
      <c r="B248" s="485">
        <v>3.5200000000000002E-2</v>
      </c>
      <c r="C248" s="485">
        <v>0.105</v>
      </c>
      <c r="D248" s="485">
        <f t="shared" si="47"/>
        <v>6.9800000000000001E-2</v>
      </c>
      <c r="E248" s="486" t="str">
        <f t="shared" si="46"/>
        <v>Mayor que Industria</v>
      </c>
    </row>
    <row r="249" spans="1:5" s="288" customFormat="1" hidden="1">
      <c r="A249" s="459" t="s">
        <v>361</v>
      </c>
      <c r="B249" s="485">
        <v>4.6300000000000001E-2</v>
      </c>
      <c r="C249" s="485">
        <f>+'Valoración Sin Estrategia'!F37</f>
        <v>7.6350871400850812E-2</v>
      </c>
      <c r="D249" s="485">
        <f t="shared" si="47"/>
        <v>3.0050871400850811E-2</v>
      </c>
      <c r="E249" s="486" t="str">
        <f t="shared" si="46"/>
        <v>Mayor que Industria</v>
      </c>
    </row>
    <row r="250" spans="1:5" s="288" customFormat="1" hidden="1">
      <c r="A250" s="459" t="s">
        <v>122</v>
      </c>
      <c r="B250" s="486">
        <v>2.0699999999999998</v>
      </c>
      <c r="C250" s="486">
        <f>+'Valoración Sin Estrategia'!F133</f>
        <v>-0.9796999999999999</v>
      </c>
      <c r="D250" s="485">
        <f t="shared" si="47"/>
        <v>-3.0496999999999996</v>
      </c>
      <c r="E250" s="486" t="str">
        <f t="shared" si="46"/>
        <v>Menor que Industria</v>
      </c>
    </row>
    <row r="251" spans="1:5" s="288" customFormat="1" hidden="1">
      <c r="A251" s="459" t="s">
        <v>318</v>
      </c>
      <c r="B251" s="485">
        <v>8.2000000000000003E-2</v>
      </c>
      <c r="C251" s="485">
        <f>+D205</f>
        <v>1.5644667725608152</v>
      </c>
      <c r="D251" s="485">
        <f t="shared" si="47"/>
        <v>1.4824667725608152</v>
      </c>
      <c r="E251" s="486" t="str">
        <f t="shared" si="46"/>
        <v>Mayor que Industria</v>
      </c>
    </row>
    <row r="252" spans="1:5" s="288" customFormat="1">
      <c r="A252" s="459" t="s">
        <v>362</v>
      </c>
      <c r="B252" s="485">
        <v>0.12759999999999999</v>
      </c>
      <c r="C252" s="487">
        <f>+(J19/J65)</f>
        <v>8.1604578010837092E-2</v>
      </c>
      <c r="D252" s="485">
        <f t="shared" si="47"/>
        <v>-4.5995421989162899E-2</v>
      </c>
      <c r="E252" s="486" t="str">
        <f t="shared" si="46"/>
        <v>Menor que Industria</v>
      </c>
    </row>
    <row r="253" spans="1:5" s="288" customFormat="1">
      <c r="A253" s="459" t="s">
        <v>363</v>
      </c>
      <c r="B253" s="485">
        <v>6.9500000000000006E-2</v>
      </c>
      <c r="C253" s="487">
        <f>(J20/J65)</f>
        <v>3.9998865530294303E-2</v>
      </c>
      <c r="D253" s="485">
        <f t="shared" si="47"/>
        <v>-2.9501134469705703E-2</v>
      </c>
      <c r="E253" s="486" t="str">
        <f t="shared" si="46"/>
        <v>Menor que Industria</v>
      </c>
    </row>
    <row r="254" spans="1:5" s="288" customFormat="1">
      <c r="A254" s="459" t="s">
        <v>364</v>
      </c>
      <c r="B254" s="485">
        <v>0.27129999999999999</v>
      </c>
      <c r="C254" s="487">
        <f>(J35+J36)/J65</f>
        <v>0.14392537015678336</v>
      </c>
      <c r="D254" s="485">
        <f t="shared" si="47"/>
        <v>-0.12737462984321662</v>
      </c>
      <c r="E254" s="486" t="str">
        <f t="shared" si="46"/>
        <v>Menor que Industria</v>
      </c>
    </row>
    <row r="255" spans="1:5">
      <c r="B255" s="299"/>
      <c r="C255" s="299"/>
      <c r="D255" s="299"/>
    </row>
  </sheetData>
  <mergeCells count="75">
    <mergeCell ref="R62:S62"/>
    <mergeCell ref="U62:V62"/>
    <mergeCell ref="A52:E52"/>
    <mergeCell ref="A44:E44"/>
    <mergeCell ref="A23:E23"/>
    <mergeCell ref="A33:E33"/>
    <mergeCell ref="A40:E40"/>
    <mergeCell ref="A48:E48"/>
    <mergeCell ref="A50:E50"/>
    <mergeCell ref="A51:E51"/>
    <mergeCell ref="A46:E46"/>
    <mergeCell ref="A49:E49"/>
    <mergeCell ref="A42:E42"/>
    <mergeCell ref="A43:E43"/>
    <mergeCell ref="A38:E38"/>
    <mergeCell ref="A39:E39"/>
    <mergeCell ref="A53:E53"/>
    <mergeCell ref="A55:E55"/>
    <mergeCell ref="A76:E76"/>
    <mergeCell ref="A57:E57"/>
    <mergeCell ref="A59:J59"/>
    <mergeCell ref="A60:J60"/>
    <mergeCell ref="A61:J61"/>
    <mergeCell ref="A62:J62"/>
    <mergeCell ref="A63:E63"/>
    <mergeCell ref="A71:E71"/>
    <mergeCell ref="A75:E75"/>
    <mergeCell ref="A65:E65"/>
    <mergeCell ref="A66:E66"/>
    <mergeCell ref="A67:E67"/>
    <mergeCell ref="A68:E68"/>
    <mergeCell ref="A37:E37"/>
    <mergeCell ref="A29:E29"/>
    <mergeCell ref="A31:E31"/>
    <mergeCell ref="A34:E34"/>
    <mergeCell ref="A41:E41"/>
    <mergeCell ref="A35:E35"/>
    <mergeCell ref="A36:E36"/>
    <mergeCell ref="A13:O13"/>
    <mergeCell ref="A14:O14"/>
    <mergeCell ref="A20:E20"/>
    <mergeCell ref="A21:E21"/>
    <mergeCell ref="A22:E22"/>
    <mergeCell ref="A18:E18"/>
    <mergeCell ref="A19:E19"/>
    <mergeCell ref="K16:O16"/>
    <mergeCell ref="A15:E15"/>
    <mergeCell ref="A16:E16"/>
    <mergeCell ref="A17:E17"/>
    <mergeCell ref="A1:O5"/>
    <mergeCell ref="A8:O8"/>
    <mergeCell ref="A9:O10"/>
    <mergeCell ref="A11:O11"/>
    <mergeCell ref="A12:O12"/>
    <mergeCell ref="A28:E28"/>
    <mergeCell ref="A27:E27"/>
    <mergeCell ref="A24:E24"/>
    <mergeCell ref="A25:E25"/>
    <mergeCell ref="A26:E26"/>
    <mergeCell ref="P63:P64"/>
    <mergeCell ref="A87:B87"/>
    <mergeCell ref="A154:B154"/>
    <mergeCell ref="A215:D215"/>
    <mergeCell ref="A221:D221"/>
    <mergeCell ref="A199:D199"/>
    <mergeCell ref="A208:D208"/>
    <mergeCell ref="K64:O64"/>
    <mergeCell ref="A77:E77"/>
    <mergeCell ref="A78:E78"/>
    <mergeCell ref="A70:E70"/>
    <mergeCell ref="A72:E72"/>
    <mergeCell ref="A73:E73"/>
    <mergeCell ref="A64:E64"/>
    <mergeCell ref="A74:E74"/>
    <mergeCell ref="A69:E69"/>
  </mergeCells>
  <conditionalFormatting sqref="K17:O22">
    <cfRule type="cellIs" dxfId="15" priority="1" operator="greaterThan">
      <formula>0.2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00B050"/>
  </sheetPr>
  <dimension ref="A1:AI277"/>
  <sheetViews>
    <sheetView topLeftCell="L211" zoomScale="84" zoomScaleNormal="84" workbookViewId="0">
      <selection activeCell="R133" sqref="R133"/>
    </sheetView>
  </sheetViews>
  <sheetFormatPr baseColWidth="10" defaultColWidth="11.44140625" defaultRowHeight="14.4"/>
  <cols>
    <col min="1" max="1" width="43.88671875" style="1" bestFit="1" customWidth="1"/>
    <col min="2" max="2" width="25.5546875" style="1" bestFit="1" customWidth="1"/>
    <col min="3" max="3" width="18.88671875" style="1" bestFit="1" customWidth="1"/>
    <col min="4" max="4" width="19.33203125" style="1" bestFit="1" customWidth="1"/>
    <col min="5" max="5" width="20" style="1" customWidth="1"/>
    <col min="6" max="6" width="15.33203125" style="1" customWidth="1"/>
    <col min="7" max="7" width="14.33203125" style="1" customWidth="1"/>
    <col min="8" max="8" width="17.88671875" style="1" bestFit="1" customWidth="1"/>
    <col min="9" max="10" width="18.6640625" style="1" bestFit="1" customWidth="1"/>
    <col min="11" max="11" width="18.5546875" style="1" customWidth="1"/>
    <col min="12" max="12" width="18.6640625" style="1" bestFit="1" customWidth="1"/>
    <col min="13" max="13" width="19.33203125" style="1" bestFit="1" customWidth="1"/>
    <col min="14" max="14" width="20.33203125" style="1" bestFit="1" customWidth="1"/>
    <col min="15" max="15" width="24.6640625" style="1" customWidth="1"/>
    <col min="16" max="16" width="11.44140625" style="1" customWidth="1"/>
    <col min="17" max="17" width="27.88671875" style="1" customWidth="1"/>
    <col min="18" max="18" width="23.6640625" style="1" bestFit="1" customWidth="1"/>
    <col min="19" max="19" width="22.5546875" style="1" bestFit="1" customWidth="1"/>
    <col min="20" max="21" width="12.33203125" style="1" bestFit="1" customWidth="1"/>
    <col min="22" max="22" width="8.44140625" style="1" bestFit="1" customWidth="1"/>
    <col min="23" max="23" width="14.6640625" style="1" customWidth="1"/>
    <col min="24" max="24" width="23.109375" style="1" bestFit="1" customWidth="1"/>
    <col min="25" max="25" width="22.5546875" style="1" bestFit="1" customWidth="1"/>
    <col min="26" max="26" width="13.5546875" style="1" customWidth="1"/>
    <col min="27" max="27" width="14.109375" style="1" customWidth="1"/>
    <col min="28" max="34" width="11.44140625" style="1"/>
    <col min="35" max="35" width="24.88671875" style="1" customWidth="1"/>
    <col min="36" max="16384" width="11.44140625" style="1"/>
  </cols>
  <sheetData>
    <row r="1" spans="1:28">
      <c r="A1" s="608" t="s">
        <v>0</v>
      </c>
      <c r="B1" s="609"/>
      <c r="C1" s="609"/>
      <c r="D1" s="609"/>
      <c r="E1" s="609"/>
      <c r="F1" s="609"/>
      <c r="G1" s="609"/>
      <c r="H1" s="609"/>
      <c r="I1" s="609"/>
      <c r="J1" s="609"/>
      <c r="K1" s="609"/>
      <c r="L1" s="609"/>
      <c r="M1" s="609"/>
      <c r="N1" s="609"/>
      <c r="O1" s="609"/>
      <c r="P1" s="610"/>
    </row>
    <row r="2" spans="1:28">
      <c r="A2" s="611"/>
      <c r="B2" s="612"/>
      <c r="C2" s="612"/>
      <c r="D2" s="612"/>
      <c r="E2" s="612"/>
      <c r="F2" s="612"/>
      <c r="G2" s="612"/>
      <c r="H2" s="612"/>
      <c r="I2" s="612"/>
      <c r="J2" s="612"/>
      <c r="K2" s="612"/>
      <c r="L2" s="612"/>
      <c r="M2" s="612"/>
      <c r="N2" s="612"/>
      <c r="O2" s="612"/>
      <c r="P2" s="613"/>
    </row>
    <row r="3" spans="1:28">
      <c r="A3" s="611"/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3"/>
    </row>
    <row r="4" spans="1:28">
      <c r="A4" s="611"/>
      <c r="B4" s="612"/>
      <c r="C4" s="612"/>
      <c r="D4" s="612"/>
      <c r="E4" s="612"/>
      <c r="F4" s="612"/>
      <c r="G4" s="612"/>
      <c r="H4" s="612"/>
      <c r="I4" s="612"/>
      <c r="J4" s="612"/>
      <c r="K4" s="612"/>
      <c r="L4" s="612"/>
      <c r="M4" s="612"/>
      <c r="N4" s="612"/>
      <c r="O4" s="612"/>
      <c r="P4" s="613"/>
    </row>
    <row r="5" spans="1:28">
      <c r="A5" s="611"/>
      <c r="B5" s="612"/>
      <c r="C5" s="612"/>
      <c r="D5" s="612"/>
      <c r="E5" s="612"/>
      <c r="F5" s="612"/>
      <c r="G5" s="612"/>
      <c r="H5" s="612"/>
      <c r="I5" s="612"/>
      <c r="J5" s="612"/>
      <c r="K5" s="612"/>
      <c r="L5" s="612"/>
      <c r="M5" s="612"/>
      <c r="N5" s="612"/>
      <c r="O5" s="612"/>
      <c r="P5" s="613"/>
    </row>
    <row r="6" spans="1:28" ht="15" thickBot="1">
      <c r="A6" s="157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9"/>
    </row>
    <row r="8" spans="1:28" ht="15" thickBot="1"/>
    <row r="9" spans="1:28">
      <c r="A9" s="579" t="s">
        <v>39</v>
      </c>
      <c r="B9" s="580"/>
      <c r="C9" s="580"/>
      <c r="D9" s="580"/>
      <c r="E9" s="580"/>
      <c r="F9" s="580"/>
      <c r="G9" s="580"/>
      <c r="H9" s="580"/>
      <c r="I9" s="580"/>
      <c r="J9" s="580"/>
      <c r="K9" s="580"/>
      <c r="L9" s="580"/>
      <c r="M9" s="580"/>
      <c r="N9" s="580"/>
      <c r="O9" s="580"/>
      <c r="P9" s="581"/>
    </row>
    <row r="10" spans="1:28" ht="15" thickBot="1">
      <c r="A10" s="582"/>
      <c r="B10" s="583"/>
      <c r="C10" s="583"/>
      <c r="D10" s="583"/>
      <c r="E10" s="583"/>
      <c r="F10" s="583"/>
      <c r="G10" s="583"/>
      <c r="H10" s="583"/>
      <c r="I10" s="583"/>
      <c r="J10" s="583"/>
      <c r="K10" s="583"/>
      <c r="L10" s="583"/>
      <c r="M10" s="583"/>
      <c r="N10" s="583"/>
      <c r="O10" s="583"/>
      <c r="P10" s="584"/>
    </row>
    <row r="11" spans="1:28" ht="22.8">
      <c r="A11" s="585" t="s">
        <v>373</v>
      </c>
      <c r="B11" s="586"/>
      <c r="C11" s="586"/>
      <c r="D11" s="586"/>
      <c r="E11" s="586"/>
      <c r="F11" s="586"/>
      <c r="G11" s="586"/>
      <c r="H11" s="586"/>
      <c r="I11" s="586"/>
      <c r="J11" s="586"/>
      <c r="K11" s="586"/>
      <c r="L11" s="586"/>
      <c r="M11" s="586"/>
      <c r="N11" s="586"/>
      <c r="O11" s="586"/>
      <c r="P11" s="587"/>
    </row>
    <row r="12" spans="1:28">
      <c r="A12" s="542" t="s">
        <v>26</v>
      </c>
      <c r="B12" s="543"/>
      <c r="C12" s="543"/>
      <c r="D12" s="543"/>
      <c r="E12" s="543"/>
      <c r="F12" s="543"/>
      <c r="G12" s="543"/>
      <c r="H12" s="543"/>
      <c r="I12" s="543"/>
      <c r="J12" s="543"/>
      <c r="K12" s="543"/>
      <c r="L12" s="543"/>
      <c r="M12" s="543"/>
      <c r="N12" s="543"/>
      <c r="O12" s="543"/>
      <c r="P12" s="588"/>
    </row>
    <row r="13" spans="1:28" ht="15" thickBot="1">
      <c r="A13" s="542" t="s">
        <v>3</v>
      </c>
      <c r="B13" s="543"/>
      <c r="C13" s="543"/>
      <c r="D13" s="543"/>
      <c r="E13" s="543"/>
      <c r="F13" s="543"/>
      <c r="G13" s="543"/>
      <c r="H13" s="543"/>
      <c r="I13" s="543"/>
      <c r="J13" s="543"/>
      <c r="K13" s="543"/>
      <c r="L13" s="543"/>
      <c r="M13" s="543"/>
      <c r="N13" s="543"/>
      <c r="O13" s="543"/>
      <c r="P13" s="588"/>
    </row>
    <row r="14" spans="1:28" ht="22.2" thickBot="1">
      <c r="A14" s="599" t="s">
        <v>2</v>
      </c>
      <c r="B14" s="600"/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M14" s="600"/>
      <c r="N14" s="600"/>
      <c r="O14" s="600"/>
      <c r="P14" s="601"/>
      <c r="R14" s="573" t="s">
        <v>257</v>
      </c>
      <c r="S14" s="574"/>
      <c r="T14" s="574"/>
      <c r="U14" s="574"/>
      <c r="V14" s="574"/>
      <c r="W14" s="574"/>
      <c r="X14" s="574"/>
      <c r="Y14" s="574"/>
      <c r="Z14" s="574"/>
      <c r="AA14" s="574"/>
      <c r="AB14" s="575"/>
    </row>
    <row r="15" spans="1:28" ht="15" thickBot="1">
      <c r="A15" s="602"/>
      <c r="B15" s="602"/>
      <c r="C15" s="602"/>
      <c r="D15" s="602"/>
      <c r="E15" s="60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R15" s="184" t="s">
        <v>257</v>
      </c>
      <c r="S15" s="185">
        <f t="shared" ref="S15:AB15" si="0">F24</f>
        <v>0</v>
      </c>
      <c r="T15" s="185">
        <f t="shared" si="0"/>
        <v>0</v>
      </c>
      <c r="U15" s="185">
        <f t="shared" si="0"/>
        <v>2017</v>
      </c>
      <c r="V15" s="185">
        <f t="shared" si="0"/>
        <v>2018</v>
      </c>
      <c r="W15" s="186">
        <f t="shared" si="0"/>
        <v>2019</v>
      </c>
      <c r="X15" s="188">
        <f t="shared" si="0"/>
        <v>2020</v>
      </c>
      <c r="Y15" s="189">
        <f t="shared" si="0"/>
        <v>2021</v>
      </c>
      <c r="Z15" s="189">
        <f t="shared" si="0"/>
        <v>2022</v>
      </c>
      <c r="AA15" s="189">
        <f t="shared" si="0"/>
        <v>2023</v>
      </c>
      <c r="AB15" s="190">
        <f t="shared" si="0"/>
        <v>2024</v>
      </c>
    </row>
    <row r="16" spans="1:28" ht="15" thickBot="1">
      <c r="R16" s="181" t="s">
        <v>255</v>
      </c>
      <c r="S16" s="182"/>
      <c r="T16" s="182"/>
      <c r="U16" s="182">
        <v>0.05</v>
      </c>
      <c r="V16" s="182">
        <v>0.08</v>
      </c>
      <c r="W16" s="183">
        <v>0.105</v>
      </c>
      <c r="X16" s="187">
        <f>_xlfn.FORECAST.LINEAR(X15,U16:W16,U15:W15)</f>
        <v>0.13333333333333286</v>
      </c>
      <c r="Y16" s="187">
        <f t="shared" ref="Y16:AB16" si="1">_xlfn.FORECAST.LINEAR(Y15,V16:X16,V15:X15)</f>
        <v>0.15944444444444628</v>
      </c>
      <c r="Z16" s="187">
        <f t="shared" si="1"/>
        <v>0.18703703703704377</v>
      </c>
      <c r="AA16" s="187">
        <f t="shared" si="1"/>
        <v>0.21364197530864715</v>
      </c>
      <c r="AB16" s="187">
        <f t="shared" si="1"/>
        <v>0.2409053497942466</v>
      </c>
    </row>
    <row r="17" spans="1:30">
      <c r="A17" s="579" t="s">
        <v>31</v>
      </c>
      <c r="B17" s="580"/>
      <c r="C17" s="580"/>
      <c r="D17" s="580"/>
      <c r="E17" s="580"/>
      <c r="F17" s="580"/>
      <c r="G17" s="580"/>
      <c r="H17" s="580"/>
      <c r="I17" s="580"/>
      <c r="J17" s="580"/>
      <c r="K17" s="580"/>
      <c r="L17" s="580"/>
      <c r="M17" s="580"/>
      <c r="N17" s="580"/>
      <c r="O17" s="580"/>
      <c r="P17" s="581"/>
    </row>
    <row r="18" spans="1:30" ht="15" thickBot="1">
      <c r="A18" s="582"/>
      <c r="B18" s="583"/>
      <c r="C18" s="583"/>
      <c r="D18" s="583"/>
      <c r="E18" s="583"/>
      <c r="F18" s="583"/>
      <c r="G18" s="583"/>
      <c r="H18" s="583"/>
      <c r="I18" s="583"/>
      <c r="J18" s="583"/>
      <c r="K18" s="583"/>
      <c r="L18" s="583"/>
      <c r="M18" s="583"/>
      <c r="N18" s="583"/>
      <c r="O18" s="583"/>
      <c r="P18" s="584"/>
    </row>
    <row r="19" spans="1:30" ht="22.8">
      <c r="A19" s="585" t="s">
        <v>373</v>
      </c>
      <c r="B19" s="586"/>
      <c r="C19" s="586"/>
      <c r="D19" s="586"/>
      <c r="E19" s="586"/>
      <c r="F19" s="586"/>
      <c r="G19" s="586"/>
      <c r="H19" s="586"/>
      <c r="I19" s="586"/>
      <c r="J19" s="586"/>
      <c r="K19" s="586"/>
      <c r="L19" s="586"/>
      <c r="M19" s="586"/>
      <c r="N19" s="586"/>
      <c r="O19" s="586"/>
      <c r="P19" s="587"/>
    </row>
    <row r="20" spans="1:30">
      <c r="A20" s="542" t="s">
        <v>32</v>
      </c>
      <c r="B20" s="543"/>
      <c r="C20" s="543"/>
      <c r="D20" s="543"/>
      <c r="E20" s="543"/>
      <c r="F20" s="543"/>
      <c r="G20" s="543"/>
      <c r="H20" s="543"/>
      <c r="I20" s="543"/>
      <c r="J20" s="543"/>
      <c r="K20" s="543"/>
      <c r="L20" s="543"/>
      <c r="M20" s="543"/>
      <c r="N20" s="543"/>
      <c r="O20" s="543"/>
      <c r="P20" s="588"/>
    </row>
    <row r="21" spans="1:30" ht="15" thickBot="1">
      <c r="A21" s="542"/>
      <c r="B21" s="543"/>
      <c r="C21" s="543"/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88"/>
    </row>
    <row r="22" spans="1:30" ht="22.8" thickBot="1">
      <c r="A22" s="589" t="s">
        <v>33</v>
      </c>
      <c r="B22" s="590"/>
      <c r="C22" s="590"/>
      <c r="D22" s="590"/>
      <c r="E22" s="590"/>
      <c r="F22" s="590"/>
      <c r="G22" s="590"/>
      <c r="H22" s="590"/>
      <c r="I22" s="590"/>
      <c r="J22" s="590"/>
      <c r="K22" s="590"/>
      <c r="L22" s="590"/>
      <c r="M22" s="590"/>
      <c r="N22" s="590"/>
      <c r="O22" s="590"/>
      <c r="P22" s="591"/>
    </row>
    <row r="23" spans="1:30" ht="22.5" customHeight="1" thickBot="1">
      <c r="A23" s="178"/>
      <c r="B23" s="179"/>
      <c r="C23" s="179"/>
      <c r="D23" s="179"/>
      <c r="E23" s="179"/>
      <c r="F23" s="576" t="s">
        <v>37</v>
      </c>
      <c r="G23" s="577"/>
      <c r="H23" s="577"/>
      <c r="I23" s="577"/>
      <c r="J23" s="578"/>
      <c r="K23" s="606" t="s">
        <v>36</v>
      </c>
      <c r="L23" s="607"/>
      <c r="M23" s="607"/>
      <c r="N23" s="607"/>
      <c r="O23" s="607"/>
      <c r="P23" s="119"/>
      <c r="S23" s="576" t="s">
        <v>251</v>
      </c>
      <c r="T23" s="577"/>
      <c r="U23" s="577"/>
      <c r="V23" s="577"/>
      <c r="W23" s="578"/>
      <c r="Y23" s="576" t="s">
        <v>254</v>
      </c>
      <c r="Z23" s="577"/>
      <c r="AA23" s="577"/>
      <c r="AB23" s="577"/>
      <c r="AC23" s="578"/>
    </row>
    <row r="24" spans="1:30" ht="15.75" customHeight="1">
      <c r="A24" s="603" t="s">
        <v>246</v>
      </c>
      <c r="B24" s="604"/>
      <c r="C24" s="604"/>
      <c r="D24" s="604"/>
      <c r="E24" s="605"/>
      <c r="F24" s="405"/>
      <c r="G24" s="406"/>
      <c r="H24" s="312">
        <f>'Cifras Historicas'!H15</f>
        <v>2017</v>
      </c>
      <c r="I24" s="313">
        <f>'Cifras Historicas'!I15</f>
        <v>2018</v>
      </c>
      <c r="J24" s="407">
        <f>'Cifras Historicas'!J15</f>
        <v>2019</v>
      </c>
      <c r="K24" s="408">
        <f>J24+1</f>
        <v>2020</v>
      </c>
      <c r="L24" s="409">
        <f>K24+1</f>
        <v>2021</v>
      </c>
      <c r="M24" s="409">
        <f>L24+1</f>
        <v>2022</v>
      </c>
      <c r="N24" s="409">
        <f>M24+1</f>
        <v>2023</v>
      </c>
      <c r="O24" s="410">
        <f>N24+1</f>
        <v>2024</v>
      </c>
      <c r="P24" s="177"/>
      <c r="R24" s="174" t="s">
        <v>252</v>
      </c>
      <c r="S24" s="172">
        <f>K24</f>
        <v>2020</v>
      </c>
      <c r="T24" s="22">
        <f>L24</f>
        <v>2021</v>
      </c>
      <c r="U24" s="22">
        <f>M24</f>
        <v>2022</v>
      </c>
      <c r="V24" s="22">
        <f>N24</f>
        <v>2023</v>
      </c>
      <c r="W24" s="163">
        <f>O24</f>
        <v>2024</v>
      </c>
      <c r="X24" s="174" t="s">
        <v>252</v>
      </c>
      <c r="Y24" s="162">
        <f>K24</f>
        <v>2020</v>
      </c>
      <c r="Z24" s="22">
        <f>L24</f>
        <v>2021</v>
      </c>
      <c r="AA24" s="22">
        <f>M24</f>
        <v>2022</v>
      </c>
      <c r="AB24" s="22">
        <f>N24</f>
        <v>2023</v>
      </c>
      <c r="AC24" s="163">
        <f>O24</f>
        <v>2024</v>
      </c>
    </row>
    <row r="25" spans="1:30" ht="15.75" customHeight="1">
      <c r="A25" s="563" t="s">
        <v>34</v>
      </c>
      <c r="B25" s="564"/>
      <c r="C25" s="564"/>
      <c r="D25" s="564"/>
      <c r="E25" s="565"/>
      <c r="F25" s="397"/>
      <c r="G25" s="398"/>
      <c r="H25" s="395">
        <v>4.0899999999999999E-2</v>
      </c>
      <c r="I25" s="39">
        <v>3.1800000000000002E-2</v>
      </c>
      <c r="J25" s="39">
        <v>3.7999999999999999E-2</v>
      </c>
      <c r="K25" s="164">
        <v>3.4000000000000002E-2</v>
      </c>
      <c r="L25" s="20">
        <v>3.1E-2</v>
      </c>
      <c r="M25" s="20">
        <v>3.15E-2</v>
      </c>
      <c r="N25" s="20">
        <v>0.03</v>
      </c>
      <c r="O25" s="165">
        <v>0.03</v>
      </c>
      <c r="P25" s="177"/>
      <c r="R25" s="175" t="s">
        <v>34</v>
      </c>
      <c r="S25" s="169">
        <v>0.02</v>
      </c>
      <c r="T25" s="20">
        <v>2.5000000000000001E-2</v>
      </c>
      <c r="U25" s="20">
        <v>2.8000000000000001E-2</v>
      </c>
      <c r="V25" s="20">
        <v>0.03</v>
      </c>
      <c r="W25" s="165">
        <v>3.3000000000000002E-2</v>
      </c>
      <c r="X25" s="175" t="s">
        <v>34</v>
      </c>
      <c r="Y25" s="164">
        <v>0.01</v>
      </c>
      <c r="Z25" s="20">
        <v>1.2999999999999999E-2</v>
      </c>
      <c r="AA25" s="20">
        <v>1.4999999999999999E-2</v>
      </c>
      <c r="AB25" s="20">
        <v>0.02</v>
      </c>
      <c r="AC25" s="165">
        <v>2.5000000000000001E-2</v>
      </c>
    </row>
    <row r="26" spans="1:30" ht="15.75" customHeight="1">
      <c r="A26" s="563" t="s">
        <v>247</v>
      </c>
      <c r="B26" s="564"/>
      <c r="C26" s="564"/>
      <c r="D26" s="564"/>
      <c r="E26" s="565"/>
      <c r="F26" s="399"/>
      <c r="G26" s="400"/>
      <c r="H26" s="169">
        <v>1.4E-2</v>
      </c>
      <c r="I26" s="20">
        <v>2.5000000000000001E-2</v>
      </c>
      <c r="J26" s="165">
        <v>3.3000000000000002E-2</v>
      </c>
      <c r="K26" s="164">
        <v>0.02</v>
      </c>
      <c r="L26" s="20">
        <v>2.8000000000000001E-2</v>
      </c>
      <c r="M26" s="20">
        <v>3.5000000000000003E-2</v>
      </c>
      <c r="N26" s="20">
        <v>4.2000000000000003E-2</v>
      </c>
      <c r="O26" s="165">
        <v>3.6999999999999998E-2</v>
      </c>
      <c r="P26" s="177"/>
      <c r="R26" s="175" t="s">
        <v>247</v>
      </c>
      <c r="S26" s="169">
        <v>-1.4999999999999999E-2</v>
      </c>
      <c r="T26" s="20">
        <v>-0.01</v>
      </c>
      <c r="U26" s="20">
        <v>0</v>
      </c>
      <c r="V26" s="20">
        <v>0.02</v>
      </c>
      <c r="W26" s="165">
        <v>2.5000000000000001E-2</v>
      </c>
      <c r="X26" s="175" t="s">
        <v>247</v>
      </c>
      <c r="Y26" s="164">
        <v>-0.03</v>
      </c>
      <c r="Z26" s="20">
        <v>-2.8000000000000001E-2</v>
      </c>
      <c r="AA26" s="20">
        <v>-1.4999999999999999E-2</v>
      </c>
      <c r="AB26" s="20">
        <v>-0.01</v>
      </c>
      <c r="AC26" s="165">
        <v>1.2E-2</v>
      </c>
    </row>
    <row r="27" spans="1:30" ht="15.75" customHeight="1">
      <c r="A27" s="563" t="s">
        <v>248</v>
      </c>
      <c r="B27" s="564"/>
      <c r="C27" s="564"/>
      <c r="D27" s="564"/>
      <c r="E27" s="565"/>
      <c r="F27" s="401"/>
      <c r="G27" s="402"/>
      <c r="H27" s="133">
        <v>0</v>
      </c>
      <c r="I27" s="13">
        <f>'Cifras Historicas'!I78/'Cifras Historicas'!H78-1</f>
        <v>-9.9236973705436355</v>
      </c>
      <c r="J27" s="13">
        <f>'Cifras Historicas'!J78/'Cifras Historicas'!I78-1</f>
        <v>2.1168694638273258</v>
      </c>
      <c r="K27" s="166">
        <f>FORECAST(K24,$I$27:$J$27,$I$24:$J$24)</f>
        <v>14.157436298195535</v>
      </c>
      <c r="L27" s="166">
        <f t="shared" ref="L27:O27" si="2">FORECAST(L24,$I$27:$J$27,$I$24:$J$24)</f>
        <v>26.198003132569283</v>
      </c>
      <c r="M27" s="166">
        <f t="shared" si="2"/>
        <v>38.238569966939394</v>
      </c>
      <c r="N27" s="166">
        <f t="shared" si="2"/>
        <v>50.279136801309505</v>
      </c>
      <c r="O27" s="166">
        <f t="shared" si="2"/>
        <v>62.319703635679616</v>
      </c>
      <c r="P27" s="177"/>
      <c r="R27" s="175" t="s">
        <v>375</v>
      </c>
      <c r="S27" s="133">
        <v>0.02</v>
      </c>
      <c r="T27" s="13">
        <v>0.03</v>
      </c>
      <c r="U27" s="13">
        <v>3.5000000000000003E-2</v>
      </c>
      <c r="V27" s="13">
        <v>0.04</v>
      </c>
      <c r="W27" s="167">
        <v>0.05</v>
      </c>
      <c r="X27" s="175" t="s">
        <v>248</v>
      </c>
      <c r="Y27" s="166">
        <v>0</v>
      </c>
      <c r="Z27" s="166">
        <v>0</v>
      </c>
      <c r="AA27" s="166">
        <v>0</v>
      </c>
      <c r="AB27" s="166">
        <v>0</v>
      </c>
      <c r="AC27" s="166">
        <v>0</v>
      </c>
      <c r="AD27" s="1" t="s">
        <v>264</v>
      </c>
    </row>
    <row r="28" spans="1:30" ht="15.75" customHeight="1" thickBot="1">
      <c r="A28" s="595" t="s">
        <v>253</v>
      </c>
      <c r="B28" s="596"/>
      <c r="C28" s="596"/>
      <c r="D28" s="596"/>
      <c r="E28" s="636"/>
      <c r="F28" s="401"/>
      <c r="G28" s="402"/>
      <c r="H28" s="133">
        <f>((1+H25)*(1+H26)-1)</f>
        <v>5.5472599999999872E-2</v>
      </c>
      <c r="I28" s="13">
        <f t="shared" ref="I28:O28" si="3">((1+I25)*(1+I26)-1)</f>
        <v>5.7595000000000063E-2</v>
      </c>
      <c r="J28" s="13">
        <f t="shared" si="3"/>
        <v>7.225400000000004E-2</v>
      </c>
      <c r="K28" s="13">
        <f t="shared" si="3"/>
        <v>5.4680000000000062E-2</v>
      </c>
      <c r="L28" s="13">
        <f t="shared" si="3"/>
        <v>5.9868000000000032E-2</v>
      </c>
      <c r="M28" s="13">
        <f t="shared" si="3"/>
        <v>6.760250000000001E-2</v>
      </c>
      <c r="N28" s="13">
        <f t="shared" si="3"/>
        <v>7.3260000000000103E-2</v>
      </c>
      <c r="O28" s="13">
        <f t="shared" si="3"/>
        <v>6.8109999999999893E-2</v>
      </c>
      <c r="P28" s="177"/>
      <c r="R28" s="176" t="s">
        <v>249</v>
      </c>
      <c r="S28" s="173">
        <f>((1+S25)*(1+S26)*(1+S27)-1)</f>
        <v>2.4793999999999983E-2</v>
      </c>
      <c r="T28" s="173">
        <f>((1+T25)*(1+T26)*(1+T27)-1)</f>
        <v>4.5192499999999747E-2</v>
      </c>
      <c r="U28" s="173">
        <f>((1+U25)*(1+U26)*(1+U27)-1)</f>
        <v>6.3979999999999926E-2</v>
      </c>
      <c r="V28" s="173">
        <f>((1+V25)*(1+V26)*(1+V27)-1)</f>
        <v>9.262400000000004E-2</v>
      </c>
      <c r="W28" s="173">
        <f>((1+W25)*(1+W26)*(1+W27)-1)</f>
        <v>0.11176624999999984</v>
      </c>
      <c r="X28" s="176" t="s">
        <v>249</v>
      </c>
      <c r="Y28" s="171">
        <f>((1+Y25)*(1+Y26)*(1+Y27)-1)</f>
        <v>-2.0299999999999985E-2</v>
      </c>
      <c r="Z28" s="171">
        <f>((1+Z25)*(1+Z26)*(1+Z27)-1)</f>
        <v>-1.5364000000000155E-2</v>
      </c>
      <c r="AA28" s="171">
        <f>((1+AA25)*(1+AA26)*(1+AA27)-1)</f>
        <v>-2.2500000000014175E-4</v>
      </c>
      <c r="AB28" s="171">
        <f>((1+AB25)*(1+AB26)*(1+AB27)-1)</f>
        <v>9.8000000000000309E-3</v>
      </c>
      <c r="AC28" s="171">
        <f>((1+AC25)*(1+AC26)*(1+AC27)-1)</f>
        <v>3.7299999999999889E-2</v>
      </c>
    </row>
    <row r="29" spans="1:30" ht="15" customHeight="1">
      <c r="A29" s="595" t="s">
        <v>249</v>
      </c>
      <c r="B29" s="596"/>
      <c r="C29" s="596"/>
      <c r="D29" s="596"/>
      <c r="E29" s="636"/>
      <c r="F29" s="399"/>
      <c r="G29" s="403"/>
      <c r="H29" s="396">
        <f>H28</f>
        <v>5.5472599999999872E-2</v>
      </c>
      <c r="I29" s="279">
        <f>I28</f>
        <v>5.7595000000000063E-2</v>
      </c>
      <c r="J29" s="279">
        <f>J28</f>
        <v>7.225400000000004E-2</v>
      </c>
      <c r="K29" s="168">
        <f>CHOOSE($F$30,K28,S28,Y28)</f>
        <v>-2.0299999999999985E-2</v>
      </c>
      <c r="L29" s="168">
        <f>CHOOSE($F$30,L28,T28,Z28)</f>
        <v>-1.5364000000000155E-2</v>
      </c>
      <c r="M29" s="168">
        <f>CHOOSE($F$30,M28,U28,AA28)</f>
        <v>-2.2500000000014175E-4</v>
      </c>
      <c r="N29" s="168">
        <f>CHOOSE($F$30,N28,V28,AB28)</f>
        <v>9.8000000000000309E-3</v>
      </c>
      <c r="O29" s="168">
        <f>CHOOSE($F$30,O28,W28,AC28)</f>
        <v>3.7299999999999889E-2</v>
      </c>
      <c r="P29" s="177"/>
      <c r="S29" s="170"/>
      <c r="T29" s="170"/>
      <c r="U29" s="170"/>
      <c r="V29" s="170"/>
      <c r="W29" s="170"/>
      <c r="X29" s="2"/>
      <c r="Y29" s="170"/>
      <c r="Z29" s="170"/>
      <c r="AA29" s="170"/>
      <c r="AB29" s="170"/>
      <c r="AC29" s="170"/>
      <c r="AD29" s="2"/>
    </row>
    <row r="30" spans="1:30" ht="21" customHeight="1" thickBot="1">
      <c r="A30" s="633" t="s">
        <v>256</v>
      </c>
      <c r="B30" s="634"/>
      <c r="C30" s="634"/>
      <c r="D30" s="634"/>
      <c r="E30" s="635"/>
      <c r="F30" s="404">
        <v>3</v>
      </c>
      <c r="G30" s="620" t="s">
        <v>248</v>
      </c>
      <c r="H30" s="621"/>
      <c r="I30" s="621"/>
      <c r="J30" s="622"/>
      <c r="K30" s="630" t="s">
        <v>250</v>
      </c>
      <c r="L30" s="631"/>
      <c r="M30" s="631"/>
      <c r="N30" s="631"/>
      <c r="O30" s="632"/>
      <c r="P30" s="177"/>
    </row>
    <row r="31" spans="1:30" ht="15.75" customHeight="1" thickBot="1">
      <c r="P31" s="120"/>
    </row>
    <row r="32" spans="1:30" ht="29.25" customHeight="1" thickBot="1">
      <c r="A32" s="623"/>
      <c r="B32" s="624"/>
      <c r="C32" s="624"/>
      <c r="D32" s="624"/>
      <c r="E32" s="624"/>
      <c r="F32" s="624"/>
      <c r="G32" s="624"/>
      <c r="H32" s="624"/>
      <c r="I32" s="624"/>
      <c r="J32" s="624"/>
      <c r="K32" s="624"/>
      <c r="L32" s="624"/>
      <c r="M32" s="624"/>
      <c r="N32" s="624"/>
      <c r="O32" s="624"/>
      <c r="P32" s="625"/>
    </row>
    <row r="33" spans="1:16">
      <c r="A33" s="579" t="s">
        <v>39</v>
      </c>
      <c r="B33" s="580"/>
      <c r="C33" s="580"/>
      <c r="D33" s="580"/>
      <c r="E33" s="580"/>
      <c r="F33" s="580"/>
      <c r="G33" s="580"/>
      <c r="H33" s="580"/>
      <c r="I33" s="580"/>
      <c r="J33" s="580"/>
      <c r="K33" s="580"/>
      <c r="L33" s="580"/>
      <c r="M33" s="580"/>
      <c r="N33" s="580"/>
      <c r="O33" s="580"/>
      <c r="P33" s="581"/>
    </row>
    <row r="34" spans="1:16" ht="15" thickBot="1">
      <c r="A34" s="582"/>
      <c r="B34" s="583"/>
      <c r="C34" s="583"/>
      <c r="D34" s="583"/>
      <c r="E34" s="583"/>
      <c r="F34" s="583"/>
      <c r="G34" s="583"/>
      <c r="H34" s="583"/>
      <c r="I34" s="583"/>
      <c r="J34" s="583"/>
      <c r="K34" s="583"/>
      <c r="L34" s="583"/>
      <c r="M34" s="583"/>
      <c r="N34" s="583"/>
      <c r="O34" s="583"/>
      <c r="P34" s="584"/>
    </row>
    <row r="35" spans="1:16" ht="22.8">
      <c r="A35" s="585" t="s">
        <v>373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  <c r="N35" s="586"/>
      <c r="O35" s="586"/>
      <c r="P35" s="587"/>
    </row>
    <row r="36" spans="1:16">
      <c r="A36" s="542" t="s">
        <v>40</v>
      </c>
      <c r="B36" s="543"/>
      <c r="C36" s="543"/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  <c r="O36" s="543"/>
      <c r="P36" s="588"/>
    </row>
    <row r="37" spans="1:16" ht="15" thickBot="1">
      <c r="A37" s="558"/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615"/>
    </row>
    <row r="38" spans="1:16" ht="15" thickBot="1">
      <c r="A38" s="617" t="s">
        <v>10</v>
      </c>
      <c r="B38" s="618"/>
      <c r="C38" s="618"/>
      <c r="D38" s="618"/>
      <c r="E38" s="618"/>
      <c r="F38" s="618"/>
      <c r="G38" s="619"/>
      <c r="H38" s="313">
        <f t="shared" ref="H38:O38" si="4">H24</f>
        <v>2017</v>
      </c>
      <c r="I38" s="313">
        <f t="shared" si="4"/>
        <v>2018</v>
      </c>
      <c r="J38" s="314">
        <f t="shared" si="4"/>
        <v>2019</v>
      </c>
      <c r="K38" s="412">
        <f t="shared" si="4"/>
        <v>2020</v>
      </c>
      <c r="L38" s="413">
        <f t="shared" si="4"/>
        <v>2021</v>
      </c>
      <c r="M38" s="413">
        <f t="shared" si="4"/>
        <v>2022</v>
      </c>
      <c r="N38" s="413">
        <f t="shared" si="4"/>
        <v>2023</v>
      </c>
      <c r="O38" s="414">
        <f t="shared" si="4"/>
        <v>2024</v>
      </c>
    </row>
    <row r="39" spans="1:16">
      <c r="A39" s="628" t="s">
        <v>11</v>
      </c>
      <c r="B39" s="629"/>
      <c r="C39" s="629"/>
      <c r="D39" s="629"/>
      <c r="E39" s="629"/>
      <c r="F39" s="629"/>
      <c r="G39" s="629"/>
      <c r="H39" s="316"/>
      <c r="I39" s="316"/>
      <c r="J39" s="316"/>
      <c r="K39" s="415"/>
      <c r="L39" s="415"/>
      <c r="M39" s="415"/>
      <c r="N39" s="415"/>
      <c r="O39" s="415"/>
    </row>
    <row r="40" spans="1:16" ht="15.6">
      <c r="A40" s="291" t="s">
        <v>192</v>
      </c>
      <c r="B40" s="292"/>
      <c r="C40" s="292"/>
      <c r="D40" s="292"/>
      <c r="E40" s="292"/>
      <c r="F40" s="292"/>
      <c r="G40" s="293"/>
      <c r="H40" s="134">
        <f>'Cifras Historicas'!H17</f>
        <v>2878000</v>
      </c>
      <c r="I40" s="134">
        <f>'Cifras Historicas'!I17</f>
        <v>11102000</v>
      </c>
      <c r="J40" s="134">
        <f>'Cifras Historicas'!J17</f>
        <v>38955268</v>
      </c>
      <c r="K40" s="134">
        <f t="shared" ref="K40:O44" si="5">J40*(1+K$29)</f>
        <v>38164476.059600003</v>
      </c>
      <c r="L40" s="134">
        <f t="shared" si="5"/>
        <v>37578117.049420305</v>
      </c>
      <c r="M40" s="134">
        <f t="shared" si="5"/>
        <v>37569661.973084182</v>
      </c>
      <c r="N40" s="134">
        <f t="shared" si="5"/>
        <v>37937844.66042041</v>
      </c>
      <c r="O40" s="134">
        <f t="shared" si="5"/>
        <v>39352926.26625409</v>
      </c>
    </row>
    <row r="41" spans="1:16" ht="15.6">
      <c r="A41" s="291" t="s">
        <v>193</v>
      </c>
      <c r="B41" s="292"/>
      <c r="C41" s="292"/>
      <c r="D41" s="292"/>
      <c r="E41" s="292"/>
      <c r="F41" s="292"/>
      <c r="G41" s="293"/>
      <c r="H41" s="134">
        <f>'Cifras Historicas'!H18</f>
        <v>0</v>
      </c>
      <c r="I41" s="134">
        <f>'Cifras Historicas'!I18</f>
        <v>0</v>
      </c>
      <c r="J41" s="134">
        <f>'Cifras Historicas'!J18</f>
        <v>0</v>
      </c>
      <c r="K41" s="134">
        <f t="shared" si="5"/>
        <v>0</v>
      </c>
      <c r="L41" s="134">
        <f t="shared" si="5"/>
        <v>0</v>
      </c>
      <c r="M41" s="134">
        <f t="shared" si="5"/>
        <v>0</v>
      </c>
      <c r="N41" s="134">
        <f t="shared" si="5"/>
        <v>0</v>
      </c>
      <c r="O41" s="134">
        <f t="shared" si="5"/>
        <v>0</v>
      </c>
    </row>
    <row r="42" spans="1:16" ht="15.6">
      <c r="A42" s="563" t="s">
        <v>194</v>
      </c>
      <c r="B42" s="564"/>
      <c r="C42" s="564"/>
      <c r="D42" s="564"/>
      <c r="E42" s="564"/>
      <c r="F42" s="292"/>
      <c r="G42" s="293"/>
      <c r="H42" s="134">
        <f>'Cifras Historicas'!H19</f>
        <v>135108000</v>
      </c>
      <c r="I42" s="134">
        <f>'Cifras Historicas'!I19</f>
        <v>179266000</v>
      </c>
      <c r="J42" s="134">
        <f>'Cifras Historicas'!J19</f>
        <v>123679734</v>
      </c>
      <c r="K42" s="134">
        <f t="shared" si="5"/>
        <v>121169035.3998</v>
      </c>
      <c r="L42" s="134">
        <f t="shared" si="5"/>
        <v>119307394.33991745</v>
      </c>
      <c r="M42" s="134">
        <f t="shared" si="5"/>
        <v>119280550.17619096</v>
      </c>
      <c r="N42" s="134">
        <f t="shared" si="5"/>
        <v>120449499.56791763</v>
      </c>
      <c r="O42" s="134">
        <f t="shared" si="5"/>
        <v>124942265.90180095</v>
      </c>
    </row>
    <row r="43" spans="1:16" ht="15.6">
      <c r="A43" s="563" t="s">
        <v>195</v>
      </c>
      <c r="B43" s="564"/>
      <c r="C43" s="564"/>
      <c r="D43" s="564"/>
      <c r="E43" s="564"/>
      <c r="F43" s="292"/>
      <c r="G43" s="293"/>
      <c r="H43" s="134">
        <f>'Cifras Historicas'!H20</f>
        <v>6148000</v>
      </c>
      <c r="I43" s="134">
        <f>'Cifras Historicas'!I20</f>
        <v>55834000</v>
      </c>
      <c r="J43" s="134">
        <f>'Cifras Historicas'!J20</f>
        <v>60622200</v>
      </c>
      <c r="K43" s="134">
        <f t="shared" si="5"/>
        <v>59391569.340000004</v>
      </c>
      <c r="L43" s="134">
        <f t="shared" si="5"/>
        <v>58479077.268660232</v>
      </c>
      <c r="M43" s="134">
        <f t="shared" si="5"/>
        <v>58465919.476274773</v>
      </c>
      <c r="N43" s="134">
        <f t="shared" si="5"/>
        <v>59038885.487142265</v>
      </c>
      <c r="O43" s="134">
        <f t="shared" si="5"/>
        <v>61241035.915812664</v>
      </c>
    </row>
    <row r="44" spans="1:16" ht="15.6">
      <c r="A44" s="563" t="s">
        <v>196</v>
      </c>
      <c r="B44" s="564"/>
      <c r="C44" s="564"/>
      <c r="D44" s="564"/>
      <c r="E44" s="564"/>
      <c r="F44" s="292"/>
      <c r="G44" s="293"/>
      <c r="H44" s="134">
        <f>'Cifras Historicas'!H21</f>
        <v>0</v>
      </c>
      <c r="I44" s="134">
        <f>'Cifras Historicas'!I21</f>
        <v>83000</v>
      </c>
      <c r="J44" s="134">
        <f>'Cifras Historicas'!J21</f>
        <v>43026825</v>
      </c>
      <c r="K44" s="134">
        <f t="shared" si="5"/>
        <v>42153380.452500001</v>
      </c>
      <c r="L44" s="134">
        <f t="shared" si="5"/>
        <v>41505735.915227786</v>
      </c>
      <c r="M44" s="134">
        <f t="shared" si="5"/>
        <v>41496397.12464685</v>
      </c>
      <c r="N44" s="134">
        <f t="shared" si="5"/>
        <v>41903061.816468388</v>
      </c>
      <c r="O44" s="134">
        <f t="shared" si="5"/>
        <v>43466046.022222653</v>
      </c>
    </row>
    <row r="45" spans="1:16" ht="15.6">
      <c r="A45" s="595" t="s">
        <v>197</v>
      </c>
      <c r="B45" s="596"/>
      <c r="C45" s="596"/>
      <c r="D45" s="596"/>
      <c r="E45" s="596"/>
      <c r="F45" s="292"/>
      <c r="G45" s="293"/>
      <c r="H45" s="148">
        <f>'Cifras Historicas'!H22</f>
        <v>144134000</v>
      </c>
      <c r="I45" s="148">
        <f>'Cifras Historicas'!I22</f>
        <v>246285000</v>
      </c>
      <c r="J45" s="148">
        <f>'Cifras Historicas'!J22</f>
        <v>266284027</v>
      </c>
      <c r="K45" s="148">
        <f>SUM(K40:K44)</f>
        <v>260878461.25190002</v>
      </c>
      <c r="L45" s="148">
        <f>SUM(L40:L44)</f>
        <v>256870324.57322574</v>
      </c>
      <c r="M45" s="148">
        <f>SUM(M40:M44)</f>
        <v>256812528.75019675</v>
      </c>
      <c r="N45" s="148">
        <f>SUM(N40:N44)</f>
        <v>259329291.53194869</v>
      </c>
      <c r="O45" s="148">
        <f>SUM(O40:O44)</f>
        <v>269002274.10609037</v>
      </c>
    </row>
    <row r="46" spans="1:16">
      <c r="A46" s="525" t="s">
        <v>12</v>
      </c>
      <c r="B46" s="526"/>
      <c r="C46" s="526"/>
      <c r="D46" s="526"/>
      <c r="E46" s="526"/>
      <c r="F46" s="316"/>
      <c r="G46" s="316"/>
      <c r="H46" s="316"/>
      <c r="I46" s="316"/>
      <c r="J46" s="319"/>
      <c r="K46" s="411"/>
      <c r="L46" s="411"/>
      <c r="M46" s="411"/>
      <c r="N46" s="411"/>
      <c r="O46" s="411"/>
    </row>
    <row r="47" spans="1:16" ht="15.6">
      <c r="A47" s="563" t="s">
        <v>193</v>
      </c>
      <c r="B47" s="564"/>
      <c r="C47" s="564"/>
      <c r="D47" s="564"/>
      <c r="E47" s="564"/>
      <c r="F47" s="292"/>
      <c r="G47" s="293"/>
      <c r="H47" s="134">
        <f>'Cifras Historicas'!H24</f>
        <v>0</v>
      </c>
      <c r="I47" s="134">
        <f>'Cifras Historicas'!I24</f>
        <v>0</v>
      </c>
      <c r="J47" s="134">
        <f>'Cifras Historicas'!J24</f>
        <v>0</v>
      </c>
      <c r="K47" s="134">
        <f t="shared" ref="K47:O51" si="6">J47*(1+K$29)</f>
        <v>0</v>
      </c>
      <c r="L47" s="134">
        <f t="shared" si="6"/>
        <v>0</v>
      </c>
      <c r="M47" s="134">
        <f t="shared" si="6"/>
        <v>0</v>
      </c>
      <c r="N47" s="134">
        <f t="shared" si="6"/>
        <v>0</v>
      </c>
      <c r="O47" s="134">
        <f t="shared" si="6"/>
        <v>0</v>
      </c>
    </row>
    <row r="48" spans="1:16" ht="15.6">
      <c r="A48" s="563" t="s">
        <v>198</v>
      </c>
      <c r="B48" s="564"/>
      <c r="C48" s="564"/>
      <c r="D48" s="564"/>
      <c r="E48" s="564"/>
      <c r="F48" s="292"/>
      <c r="G48" s="293"/>
      <c r="H48" s="134">
        <f>'Cifras Historicas'!H25</f>
        <v>0</v>
      </c>
      <c r="I48" s="134">
        <f>'Cifras Historicas'!I25</f>
        <v>0</v>
      </c>
      <c r="J48" s="134">
        <f>'Cifras Historicas'!J25</f>
        <v>0</v>
      </c>
      <c r="K48" s="134">
        <f t="shared" si="6"/>
        <v>0</v>
      </c>
      <c r="L48" s="134">
        <f t="shared" si="6"/>
        <v>0</v>
      </c>
      <c r="M48" s="134">
        <f t="shared" si="6"/>
        <v>0</v>
      </c>
      <c r="N48" s="134">
        <f t="shared" si="6"/>
        <v>0</v>
      </c>
      <c r="O48" s="134">
        <f t="shared" si="6"/>
        <v>0</v>
      </c>
    </row>
    <row r="49" spans="1:35" ht="15.6">
      <c r="A49" s="563" t="s">
        <v>199</v>
      </c>
      <c r="B49" s="564"/>
      <c r="C49" s="564"/>
      <c r="D49" s="564"/>
      <c r="E49" s="564"/>
      <c r="F49" s="292"/>
      <c r="G49" s="293"/>
      <c r="H49" s="134">
        <f>'Cifras Historicas'!H26</f>
        <v>25278000</v>
      </c>
      <c r="I49" s="134">
        <f>'Cifras Historicas'!I26</f>
        <v>20453000</v>
      </c>
      <c r="J49" s="134">
        <f>'Cifras Historicas'!J26</f>
        <v>10657046</v>
      </c>
      <c r="K49" s="134">
        <f t="shared" si="6"/>
        <v>10440707.9662</v>
      </c>
      <c r="L49" s="134">
        <f t="shared" si="6"/>
        <v>10280296.929007301</v>
      </c>
      <c r="M49" s="134">
        <f t="shared" si="6"/>
        <v>10277983.862198273</v>
      </c>
      <c r="N49" s="134">
        <f t="shared" si="6"/>
        <v>10378708.104047816</v>
      </c>
      <c r="O49" s="134">
        <f t="shared" si="6"/>
        <v>10765833.916328799</v>
      </c>
    </row>
    <row r="50" spans="1:35" ht="15.6">
      <c r="A50" s="563" t="s">
        <v>200</v>
      </c>
      <c r="B50" s="564"/>
      <c r="C50" s="564"/>
      <c r="D50" s="564"/>
      <c r="E50" s="564"/>
      <c r="F50" s="292"/>
      <c r="G50" s="293"/>
      <c r="H50" s="134">
        <f>'Cifras Historicas'!H27</f>
        <v>0</v>
      </c>
      <c r="I50" s="134">
        <f>'Cifras Historicas'!I27</f>
        <v>0</v>
      </c>
      <c r="J50" s="134">
        <f>'Cifras Historicas'!J27</f>
        <v>0</v>
      </c>
      <c r="K50" s="134">
        <f t="shared" si="6"/>
        <v>0</v>
      </c>
      <c r="L50" s="134">
        <f t="shared" si="6"/>
        <v>0</v>
      </c>
      <c r="M50" s="134">
        <f t="shared" si="6"/>
        <v>0</v>
      </c>
      <c r="N50" s="134">
        <f t="shared" si="6"/>
        <v>0</v>
      </c>
      <c r="O50" s="134">
        <f t="shared" si="6"/>
        <v>0</v>
      </c>
    </row>
    <row r="51" spans="1:35" ht="15.6">
      <c r="A51" s="563" t="s">
        <v>201</v>
      </c>
      <c r="B51" s="564"/>
      <c r="C51" s="564"/>
      <c r="D51" s="564"/>
      <c r="E51" s="564"/>
      <c r="F51" s="292"/>
      <c r="G51" s="293"/>
      <c r="H51" s="134">
        <f>'Cifras Historicas'!H28</f>
        <v>0</v>
      </c>
      <c r="I51" s="134">
        <f>'Cifras Historicas'!I28</f>
        <v>0</v>
      </c>
      <c r="J51" s="134">
        <f>'Cifras Historicas'!J28</f>
        <v>0</v>
      </c>
      <c r="K51" s="134">
        <f t="shared" si="6"/>
        <v>0</v>
      </c>
      <c r="L51" s="134">
        <f t="shared" si="6"/>
        <v>0</v>
      </c>
      <c r="M51" s="134">
        <f t="shared" si="6"/>
        <v>0</v>
      </c>
      <c r="N51" s="134">
        <f t="shared" si="6"/>
        <v>0</v>
      </c>
      <c r="O51" s="134">
        <f t="shared" si="6"/>
        <v>0</v>
      </c>
    </row>
    <row r="52" spans="1:35" ht="15.6">
      <c r="A52" s="595" t="s">
        <v>202</v>
      </c>
      <c r="B52" s="596"/>
      <c r="C52" s="596"/>
      <c r="D52" s="596"/>
      <c r="E52" s="596"/>
      <c r="F52" s="292"/>
      <c r="G52" s="293"/>
      <c r="H52" s="148">
        <f>'Cifras Historicas'!H29</f>
        <v>25278000</v>
      </c>
      <c r="I52" s="148">
        <f>'Cifras Historicas'!I29</f>
        <v>20453000</v>
      </c>
      <c r="J52" s="148">
        <f>'Cifras Historicas'!J29</f>
        <v>10657046</v>
      </c>
      <c r="K52" s="148">
        <f>SUM(K47:K51)</f>
        <v>10440707.9662</v>
      </c>
      <c r="L52" s="148">
        <f>SUM(L47:L51)</f>
        <v>10280296.929007301</v>
      </c>
      <c r="M52" s="148">
        <f>SUM(M47:M51)</f>
        <v>10277983.862198273</v>
      </c>
      <c r="N52" s="148">
        <f>SUM(N47:N51)</f>
        <v>10378708.104047816</v>
      </c>
      <c r="O52" s="148">
        <f>SUM(O47:O51)</f>
        <v>10765833.916328799</v>
      </c>
    </row>
    <row r="53" spans="1:35">
      <c r="A53" s="131"/>
      <c r="B53" s="131"/>
      <c r="C53" s="131"/>
      <c r="D53" s="131"/>
      <c r="E53" s="131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35" ht="15.6">
      <c r="A54" s="549" t="s">
        <v>4</v>
      </c>
      <c r="B54" s="626"/>
      <c r="C54" s="626"/>
      <c r="D54" s="626"/>
      <c r="E54" s="626"/>
      <c r="F54" s="626"/>
      <c r="G54" s="627"/>
      <c r="H54" s="420">
        <f t="shared" ref="H54:O54" si="7">H45+H52</f>
        <v>169412000</v>
      </c>
      <c r="I54" s="420">
        <f t="shared" si="7"/>
        <v>266738000</v>
      </c>
      <c r="J54" s="420">
        <f t="shared" si="7"/>
        <v>276941073</v>
      </c>
      <c r="K54" s="416">
        <f t="shared" si="7"/>
        <v>271319169.21810001</v>
      </c>
      <c r="L54" s="416">
        <f t="shared" si="7"/>
        <v>267150621.50223303</v>
      </c>
      <c r="M54" s="416">
        <f t="shared" si="7"/>
        <v>267090512.61239502</v>
      </c>
      <c r="N54" s="416">
        <f t="shared" si="7"/>
        <v>269707999.63599652</v>
      </c>
      <c r="O54" s="416">
        <f t="shared" si="7"/>
        <v>279768108.02241915</v>
      </c>
    </row>
    <row r="55" spans="1:35">
      <c r="A55" s="3"/>
    </row>
    <row r="56" spans="1:35">
      <c r="A56" s="561" t="s">
        <v>13</v>
      </c>
      <c r="B56" s="562"/>
      <c r="C56" s="562"/>
      <c r="D56" s="562"/>
      <c r="E56" s="562"/>
      <c r="F56" s="421"/>
      <c r="G56" s="421"/>
      <c r="H56" s="421"/>
      <c r="I56" s="421"/>
      <c r="J56" s="422"/>
      <c r="K56" s="411"/>
      <c r="L56" s="411"/>
      <c r="M56" s="411"/>
      <c r="N56" s="411"/>
      <c r="O56" s="411"/>
      <c r="Q56" s="2"/>
      <c r="R56" s="2"/>
      <c r="S56" s="2"/>
      <c r="T56" s="2"/>
      <c r="U56" s="140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ht="15.6">
      <c r="A57" s="563" t="s">
        <v>203</v>
      </c>
      <c r="B57" s="564"/>
      <c r="C57" s="564"/>
      <c r="D57" s="564"/>
      <c r="E57" s="564"/>
      <c r="F57" s="292"/>
      <c r="G57" s="293"/>
      <c r="H57" s="134">
        <f>'Cifras Historicas'!H34</f>
        <v>0</v>
      </c>
      <c r="I57" s="134">
        <f>'Cifras Historicas'!I34</f>
        <v>0</v>
      </c>
      <c r="J57" s="134">
        <f>'Cifras Historicas'!J34</f>
        <v>0</v>
      </c>
      <c r="K57" s="134">
        <f t="shared" ref="K57:O61" si="8">J57*(1+K$29)</f>
        <v>0</v>
      </c>
      <c r="L57" s="134">
        <f t="shared" si="8"/>
        <v>0</v>
      </c>
      <c r="M57" s="134">
        <f t="shared" si="8"/>
        <v>0</v>
      </c>
      <c r="N57" s="134">
        <f t="shared" si="8"/>
        <v>0</v>
      </c>
      <c r="O57" s="134">
        <f t="shared" si="8"/>
        <v>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ht="15.6">
      <c r="A58" s="563" t="s">
        <v>204</v>
      </c>
      <c r="B58" s="564"/>
      <c r="C58" s="564"/>
      <c r="D58" s="564"/>
      <c r="E58" s="564"/>
      <c r="F58" s="292"/>
      <c r="G58" s="293"/>
      <c r="H58" s="134">
        <f>'Cifras Historicas'!H35</f>
        <v>136248000</v>
      </c>
      <c r="I58" s="134">
        <f>'Cifras Historicas'!I35</f>
        <v>167772000</v>
      </c>
      <c r="J58" s="134">
        <f>'Cifras Historicas'!J35</f>
        <v>183137894</v>
      </c>
      <c r="K58" s="134">
        <f t="shared" si="8"/>
        <v>179420194.7518</v>
      </c>
      <c r="L58" s="134">
        <f t="shared" si="8"/>
        <v>176663582.87963331</v>
      </c>
      <c r="M58" s="134">
        <f t="shared" si="8"/>
        <v>176623833.57348537</v>
      </c>
      <c r="N58" s="134">
        <f t="shared" si="8"/>
        <v>178354747.14250553</v>
      </c>
      <c r="O58" s="134">
        <f t="shared" si="8"/>
        <v>185007379.21092096</v>
      </c>
      <c r="Q58" s="2"/>
      <c r="R58" s="616"/>
      <c r="S58" s="616"/>
      <c r="T58" s="616"/>
      <c r="U58" s="616"/>
      <c r="V58" s="616"/>
      <c r="W58" s="616"/>
      <c r="X58" s="616"/>
      <c r="Y58" s="616"/>
      <c r="Z58" s="616"/>
      <c r="AA58" s="616"/>
      <c r="AB58" s="2"/>
      <c r="AC58" s="2"/>
      <c r="AD58" s="2"/>
      <c r="AE58" s="2"/>
      <c r="AF58" s="2"/>
      <c r="AG58" s="2"/>
      <c r="AH58" s="2"/>
      <c r="AI58" s="2"/>
    </row>
    <row r="59" spans="1:35" ht="15.6">
      <c r="A59" s="563" t="s">
        <v>205</v>
      </c>
      <c r="B59" s="564"/>
      <c r="C59" s="564"/>
      <c r="D59" s="564"/>
      <c r="E59" s="564"/>
      <c r="F59" s="292"/>
      <c r="G59" s="293"/>
      <c r="H59" s="134">
        <f>'Cifras Historicas'!H36</f>
        <v>0</v>
      </c>
      <c r="I59" s="134">
        <f>'Cifras Historicas'!I36</f>
        <v>0</v>
      </c>
      <c r="J59" s="134">
        <f>'Cifras Historicas'!J36</f>
        <v>34995107</v>
      </c>
      <c r="K59" s="134">
        <f t="shared" si="8"/>
        <v>34284706.3279</v>
      </c>
      <c r="L59" s="134">
        <f t="shared" si="8"/>
        <v>33757956.09987814</v>
      </c>
      <c r="M59" s="134">
        <f t="shared" si="8"/>
        <v>33750360.559755661</v>
      </c>
      <c r="N59" s="134">
        <f t="shared" si="8"/>
        <v>34081114.093241267</v>
      </c>
      <c r="O59" s="134">
        <f t="shared" si="8"/>
        <v>35352339.648919165</v>
      </c>
      <c r="Q59" s="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2"/>
      <c r="AC59" s="2"/>
      <c r="AD59" s="2"/>
      <c r="AE59" s="2"/>
      <c r="AF59" s="2"/>
      <c r="AG59" s="2"/>
      <c r="AH59" s="2"/>
      <c r="AI59" s="2"/>
    </row>
    <row r="60" spans="1:35" ht="15.6">
      <c r="A60" s="563" t="s">
        <v>206</v>
      </c>
      <c r="B60" s="564"/>
      <c r="C60" s="564"/>
      <c r="D60" s="564"/>
      <c r="E60" s="564"/>
      <c r="F60" s="292"/>
      <c r="G60" s="293"/>
      <c r="H60" s="134">
        <f>'Cifras Historicas'!H37</f>
        <v>5591000</v>
      </c>
      <c r="I60" s="134">
        <f>'Cifras Historicas'!I37</f>
        <v>4799000</v>
      </c>
      <c r="J60" s="134">
        <f>'Cifras Historicas'!J37</f>
        <v>13966541</v>
      </c>
      <c r="K60" s="134">
        <f t="shared" si="8"/>
        <v>13683020.217700001</v>
      </c>
      <c r="L60" s="134">
        <f t="shared" si="8"/>
        <v>13472794.295075256</v>
      </c>
      <c r="M60" s="134">
        <f t="shared" si="8"/>
        <v>13469762.916358862</v>
      </c>
      <c r="N60" s="134">
        <f t="shared" si="8"/>
        <v>13601766.592939179</v>
      </c>
      <c r="O60" s="134">
        <f t="shared" si="8"/>
        <v>14109112.486855809</v>
      </c>
      <c r="Q60" s="140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4"/>
      <c r="AC60" s="124"/>
      <c r="AD60" s="124"/>
      <c r="AE60" s="124"/>
      <c r="AF60" s="124"/>
      <c r="AG60" s="124"/>
      <c r="AH60" s="124"/>
      <c r="AI60" s="124"/>
    </row>
    <row r="61" spans="1:35" ht="15.6">
      <c r="A61" s="563" t="s">
        <v>207</v>
      </c>
      <c r="B61" s="564"/>
      <c r="C61" s="564"/>
      <c r="D61" s="564"/>
      <c r="E61" s="564"/>
      <c r="F61" s="292"/>
      <c r="G61" s="293"/>
      <c r="H61" s="134">
        <f>'Cifras Historicas'!H38</f>
        <v>1074000</v>
      </c>
      <c r="I61" s="134">
        <f>'Cifras Historicas'!I38</f>
        <v>14153000</v>
      </c>
      <c r="J61" s="134">
        <f>'Cifras Historicas'!J38</f>
        <v>20050957</v>
      </c>
      <c r="K61" s="134">
        <f t="shared" si="8"/>
        <v>19643922.572900001</v>
      </c>
      <c r="L61" s="134">
        <f t="shared" si="8"/>
        <v>19342113.346489962</v>
      </c>
      <c r="M61" s="134">
        <f t="shared" si="8"/>
        <v>19337761.370986998</v>
      </c>
      <c r="N61" s="134">
        <f t="shared" si="8"/>
        <v>19527271.432422671</v>
      </c>
      <c r="O61" s="134">
        <f t="shared" si="8"/>
        <v>20255638.656852037</v>
      </c>
      <c r="Q61" s="140"/>
      <c r="R61" s="2"/>
      <c r="S61" s="122"/>
      <c r="T61" s="122"/>
      <c r="U61" s="122"/>
      <c r="V61" s="122"/>
      <c r="W61" s="122"/>
      <c r="X61" s="122"/>
      <c r="Y61" s="122"/>
      <c r="Z61" s="122"/>
      <c r="AA61" s="122"/>
      <c r="AB61" s="124"/>
      <c r="AC61" s="124"/>
      <c r="AD61" s="124"/>
      <c r="AE61" s="124"/>
      <c r="AF61" s="124"/>
      <c r="AG61" s="124"/>
      <c r="AH61" s="124"/>
      <c r="AI61" s="124"/>
    </row>
    <row r="62" spans="1:35" ht="15.6">
      <c r="A62" s="595" t="s">
        <v>5</v>
      </c>
      <c r="B62" s="596"/>
      <c r="C62" s="596"/>
      <c r="D62" s="596"/>
      <c r="E62" s="596"/>
      <c r="F62" s="292"/>
      <c r="G62" s="293"/>
      <c r="H62" s="148">
        <f>'Cifras Historicas'!H39</f>
        <v>142913000</v>
      </c>
      <c r="I62" s="148">
        <f>'Cifras Historicas'!I39</f>
        <v>186724000</v>
      </c>
      <c r="J62" s="148">
        <f>'Cifras Historicas'!J39</f>
        <v>252150499</v>
      </c>
      <c r="K62" s="148">
        <f>SUM(K57:K61)</f>
        <v>247031843.87029999</v>
      </c>
      <c r="L62" s="148">
        <f>SUM(L57:L61)</f>
        <v>243236446.62107667</v>
      </c>
      <c r="M62" s="148">
        <f>SUM(M57:M61)</f>
        <v>243181718.42058688</v>
      </c>
      <c r="N62" s="148">
        <f>SUM(N57:N61)</f>
        <v>245564899.26110864</v>
      </c>
      <c r="O62" s="148">
        <f>SUM(O57:O61)</f>
        <v>254724470.00354797</v>
      </c>
      <c r="Q62" s="140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4"/>
      <c r="AC62" s="124"/>
      <c r="AD62" s="124"/>
      <c r="AE62" s="124"/>
      <c r="AF62" s="124"/>
      <c r="AG62" s="124"/>
      <c r="AH62" s="124"/>
      <c r="AI62" s="124"/>
    </row>
    <row r="63" spans="1:35">
      <c r="A63" s="525" t="s">
        <v>14</v>
      </c>
      <c r="B63" s="526"/>
      <c r="C63" s="526"/>
      <c r="D63" s="526"/>
      <c r="E63" s="526"/>
      <c r="F63" s="320"/>
      <c r="G63" s="320"/>
      <c r="H63" s="320"/>
      <c r="I63" s="320"/>
      <c r="J63" s="321"/>
      <c r="K63" s="411"/>
      <c r="L63" s="411"/>
      <c r="M63" s="411"/>
      <c r="N63" s="411"/>
      <c r="O63" s="411"/>
      <c r="Q63" s="2"/>
      <c r="R63" s="2"/>
      <c r="S63" s="2"/>
      <c r="T63" s="2"/>
      <c r="U63" s="2"/>
      <c r="V63" s="2"/>
      <c r="W63" s="141"/>
      <c r="X63" s="141"/>
      <c r="Y63" s="141"/>
      <c r="Z63" s="141"/>
      <c r="AA63" s="141"/>
      <c r="AB63" s="2"/>
      <c r="AC63" s="2"/>
      <c r="AD63" s="2"/>
      <c r="AE63" s="2"/>
      <c r="AF63" s="2"/>
      <c r="AG63" s="2"/>
      <c r="AH63" s="2"/>
      <c r="AI63" s="2"/>
    </row>
    <row r="64" spans="1:35" ht="15.6">
      <c r="A64" s="563" t="s">
        <v>203</v>
      </c>
      <c r="B64" s="564"/>
      <c r="C64" s="564"/>
      <c r="D64" s="564"/>
      <c r="E64" s="564"/>
      <c r="F64" s="292"/>
      <c r="G64" s="293"/>
      <c r="H64" s="134">
        <f>'Cifras Historicas'!H41</f>
        <v>5000000</v>
      </c>
      <c r="I64" s="134">
        <f>'Cifras Historicas'!I41</f>
        <v>20000000</v>
      </c>
      <c r="J64" s="134">
        <f>'Cifras Historicas'!J41</f>
        <v>135000000</v>
      </c>
      <c r="K64" s="134">
        <f t="shared" ref="K64:O66" si="9">J64*(1+K$29)</f>
        <v>132259500</v>
      </c>
      <c r="L64" s="134">
        <f t="shared" si="9"/>
        <v>130227465.04199998</v>
      </c>
      <c r="M64" s="134">
        <f t="shared" si="9"/>
        <v>130198163.86236551</v>
      </c>
      <c r="N64" s="134">
        <f t="shared" si="9"/>
        <v>131474105.86821669</v>
      </c>
      <c r="O64" s="134">
        <f t="shared" si="9"/>
        <v>136378090.01710117</v>
      </c>
      <c r="Q64" s="42"/>
      <c r="R64" s="122"/>
      <c r="S64" s="122"/>
      <c r="T64" s="122"/>
      <c r="U64" s="122"/>
      <c r="V64" s="122"/>
      <c r="W64" s="123"/>
      <c r="X64" s="123"/>
      <c r="Y64" s="123"/>
      <c r="Z64" s="123"/>
      <c r="AA64" s="123"/>
      <c r="AB64" s="124"/>
      <c r="AC64" s="124"/>
      <c r="AD64" s="124"/>
      <c r="AE64" s="124"/>
      <c r="AF64" s="124"/>
      <c r="AG64" s="124"/>
      <c r="AH64" s="124"/>
      <c r="AI64" s="124"/>
    </row>
    <row r="65" spans="1:18" ht="15.6">
      <c r="A65" s="563" t="s">
        <v>208</v>
      </c>
      <c r="B65" s="564"/>
      <c r="C65" s="564"/>
      <c r="D65" s="564"/>
      <c r="E65" s="564"/>
      <c r="F65" s="292"/>
      <c r="G65" s="293"/>
      <c r="H65" s="134">
        <f>'Cifras Historicas'!H42</f>
        <v>0</v>
      </c>
      <c r="I65" s="134">
        <f>'Cifras Historicas'!I42</f>
        <v>0</v>
      </c>
      <c r="J65" s="134">
        <f>'Cifras Historicas'!J42</f>
        <v>0</v>
      </c>
      <c r="K65" s="134">
        <f t="shared" si="9"/>
        <v>0</v>
      </c>
      <c r="L65" s="134">
        <f t="shared" si="9"/>
        <v>0</v>
      </c>
      <c r="M65" s="134">
        <f t="shared" si="9"/>
        <v>0</v>
      </c>
      <c r="N65" s="134">
        <f t="shared" si="9"/>
        <v>0</v>
      </c>
      <c r="O65" s="134">
        <f t="shared" si="9"/>
        <v>0</v>
      </c>
    </row>
    <row r="66" spans="1:18" ht="15.6">
      <c r="A66" s="563" t="s">
        <v>207</v>
      </c>
      <c r="B66" s="564"/>
      <c r="C66" s="564"/>
      <c r="D66" s="564"/>
      <c r="E66" s="564"/>
      <c r="F66" s="292"/>
      <c r="G66" s="293"/>
      <c r="H66" s="134">
        <f>'Cifras Historicas'!H43</f>
        <v>0</v>
      </c>
      <c r="I66" s="134">
        <f>'Cifras Historicas'!I43</f>
        <v>0</v>
      </c>
      <c r="J66" s="134">
        <f>'Cifras Historicas'!J43</f>
        <v>0</v>
      </c>
      <c r="K66" s="134">
        <f t="shared" si="9"/>
        <v>0</v>
      </c>
      <c r="L66" s="134">
        <f t="shared" si="9"/>
        <v>0</v>
      </c>
      <c r="M66" s="134">
        <f t="shared" si="9"/>
        <v>0</v>
      </c>
      <c r="N66" s="134">
        <f t="shared" si="9"/>
        <v>0</v>
      </c>
      <c r="O66" s="134">
        <f t="shared" si="9"/>
        <v>0</v>
      </c>
    </row>
    <row r="67" spans="1:18" ht="15.6">
      <c r="A67" s="595" t="s">
        <v>6</v>
      </c>
      <c r="B67" s="596"/>
      <c r="C67" s="596"/>
      <c r="D67" s="596"/>
      <c r="E67" s="596"/>
      <c r="F67" s="292"/>
      <c r="G67" s="293"/>
      <c r="H67" s="148">
        <f>'Cifras Historicas'!H44</f>
        <v>5000000</v>
      </c>
      <c r="I67" s="148">
        <f>'Cifras Historicas'!I44</f>
        <v>20000000</v>
      </c>
      <c r="J67" s="148">
        <f>'Cifras Historicas'!J44</f>
        <v>135000000</v>
      </c>
      <c r="K67" s="148">
        <f>SUM(K64:K66)</f>
        <v>132259500</v>
      </c>
      <c r="L67" s="148">
        <f>SUM(L64:L66)</f>
        <v>130227465.04199998</v>
      </c>
      <c r="M67" s="148">
        <f>SUM(M64:M66)</f>
        <v>130198163.86236551</v>
      </c>
      <c r="N67" s="148">
        <f>SUM(N64:N66)</f>
        <v>131474105.86821669</v>
      </c>
      <c r="O67" s="148">
        <f>SUM(O64:O66)</f>
        <v>136378090.01710117</v>
      </c>
    </row>
    <row r="68" spans="1:18">
      <c r="A68" s="3"/>
      <c r="B68" s="3"/>
      <c r="C68" s="3"/>
      <c r="D68" s="3"/>
      <c r="E68" s="3"/>
    </row>
    <row r="69" spans="1:18" ht="15.6">
      <c r="A69" s="561" t="s">
        <v>7</v>
      </c>
      <c r="B69" s="562"/>
      <c r="C69" s="562"/>
      <c r="D69" s="562"/>
      <c r="E69" s="562"/>
      <c r="F69" s="421"/>
      <c r="G69" s="421"/>
      <c r="H69" s="420">
        <f t="shared" ref="H69:O69" si="10">H62+H67</f>
        <v>147913000</v>
      </c>
      <c r="I69" s="420">
        <f t="shared" si="10"/>
        <v>206724000</v>
      </c>
      <c r="J69" s="420">
        <f t="shared" si="10"/>
        <v>387150499</v>
      </c>
      <c r="K69" s="416">
        <f t="shared" si="10"/>
        <v>379291343.87029999</v>
      </c>
      <c r="L69" s="416">
        <f t="shared" si="10"/>
        <v>373463911.66307664</v>
      </c>
      <c r="M69" s="416">
        <f t="shared" si="10"/>
        <v>373379882.28295243</v>
      </c>
      <c r="N69" s="416">
        <f t="shared" si="10"/>
        <v>377039005.12932533</v>
      </c>
      <c r="O69" s="416">
        <f t="shared" si="10"/>
        <v>391102560.02064914</v>
      </c>
    </row>
    <row r="70" spans="1:18">
      <c r="A70" s="3"/>
    </row>
    <row r="71" spans="1:18">
      <c r="A71" s="561" t="s">
        <v>15</v>
      </c>
      <c r="B71" s="562"/>
      <c r="C71" s="562"/>
      <c r="D71" s="562"/>
      <c r="E71" s="562"/>
      <c r="F71" s="323"/>
      <c r="G71" s="323"/>
      <c r="H71" s="323"/>
      <c r="I71" s="323"/>
      <c r="J71" s="324"/>
      <c r="K71" s="411"/>
      <c r="L71" s="411"/>
      <c r="M71" s="411"/>
      <c r="N71" s="411"/>
      <c r="O71" s="411"/>
    </row>
    <row r="72" spans="1:18" ht="15.6">
      <c r="A72" s="563" t="s">
        <v>209</v>
      </c>
      <c r="B72" s="564"/>
      <c r="C72" s="564"/>
      <c r="D72" s="564"/>
      <c r="E72" s="564"/>
      <c r="F72" s="292"/>
      <c r="G72" s="292"/>
      <c r="H72" s="134">
        <f>'Cifras Historicas'!H49</f>
        <v>15300000</v>
      </c>
      <c r="I72" s="134">
        <f>'Cifras Historicas'!I49</f>
        <v>109133000</v>
      </c>
      <c r="J72" s="134">
        <f>'Cifras Historicas'!J49</f>
        <v>109133000</v>
      </c>
      <c r="K72" s="134">
        <f>J72</f>
        <v>109133000</v>
      </c>
      <c r="L72" s="134">
        <f>K72</f>
        <v>109133000</v>
      </c>
      <c r="M72" s="134">
        <f>L72</f>
        <v>109133000</v>
      </c>
      <c r="N72" s="134">
        <f>M72</f>
        <v>109133000</v>
      </c>
      <c r="O72" s="134">
        <f>N72</f>
        <v>109133000</v>
      </c>
    </row>
    <row r="73" spans="1:18" ht="15.6">
      <c r="A73" s="563" t="s">
        <v>210</v>
      </c>
      <c r="B73" s="564"/>
      <c r="C73" s="564"/>
      <c r="D73" s="564"/>
      <c r="E73" s="564"/>
      <c r="F73" s="292"/>
      <c r="G73" s="292"/>
      <c r="H73" s="134">
        <f>'Cifras Historicas'!H50</f>
        <v>0</v>
      </c>
      <c r="I73" s="134">
        <f>'Cifras Historicas'!I50</f>
        <v>0</v>
      </c>
      <c r="J73" s="134">
        <f>'Cifras Historicas'!J50</f>
        <v>-46923441</v>
      </c>
      <c r="K73" s="134">
        <f t="shared" ref="K73:O73" si="11">J73*(1+K$29)</f>
        <v>-45970895.147700004</v>
      </c>
      <c r="L73" s="134">
        <f t="shared" si="11"/>
        <v>-45264598.314650737</v>
      </c>
      <c r="M73" s="134">
        <f t="shared" si="11"/>
        <v>-45254413.780029938</v>
      </c>
      <c r="N73" s="134">
        <f t="shared" si="11"/>
        <v>-45697907.035074234</v>
      </c>
      <c r="O73" s="134">
        <f t="shared" si="11"/>
        <v>-47402438.9674825</v>
      </c>
    </row>
    <row r="74" spans="1:18" ht="15.6">
      <c r="A74" s="563" t="s">
        <v>211</v>
      </c>
      <c r="B74" s="564"/>
      <c r="C74" s="564"/>
      <c r="D74" s="564"/>
      <c r="E74" s="564"/>
      <c r="F74" s="292"/>
      <c r="G74" s="292"/>
      <c r="H74" s="134">
        <f>'Cifras Historicas'!H51</f>
        <v>0</v>
      </c>
      <c r="I74" s="134">
        <f>'Cifras Historicas'!I51</f>
        <v>6199000</v>
      </c>
      <c r="J74" s="134">
        <f>'Cifras Historicas'!J51</f>
        <v>0</v>
      </c>
      <c r="K74" s="161">
        <v>-115137370.59740406</v>
      </c>
      <c r="L74" s="161">
        <v>-115045119.44754559</v>
      </c>
      <c r="M74" s="161">
        <v>-115043789.2206699</v>
      </c>
      <c r="N74" s="161">
        <v>-115101714.95503241</v>
      </c>
      <c r="O74" s="161">
        <v>-115324348.02285516</v>
      </c>
    </row>
    <row r="75" spans="1:18" ht="15.6">
      <c r="A75" s="563" t="s">
        <v>212</v>
      </c>
      <c r="B75" s="564"/>
      <c r="C75" s="564"/>
      <c r="D75" s="564"/>
      <c r="E75" s="564"/>
      <c r="F75" s="292"/>
      <c r="G75" s="292"/>
      <c r="H75" s="134">
        <f>'Cifras Historicas'!H52</f>
        <v>6199000</v>
      </c>
      <c r="I75" s="134">
        <f>'Cifras Historicas'!I52</f>
        <v>-55318000</v>
      </c>
      <c r="J75" s="134">
        <f>'Cifras Historicas'!J52</f>
        <v>-172418985</v>
      </c>
      <c r="K75" s="134">
        <f>K98</f>
        <v>-55996908.907095924</v>
      </c>
      <c r="L75" s="134">
        <f>L98</f>
        <v>-55136572.398647301</v>
      </c>
      <c r="M75" s="134">
        <f>M98</f>
        <v>-55124166.669857599</v>
      </c>
      <c r="N75" s="134">
        <f>N98</f>
        <v>-55664383.503222197</v>
      </c>
      <c r="O75" s="134">
        <f>O98</f>
        <v>-57740665.007892333</v>
      </c>
    </row>
    <row r="76" spans="1:18" ht="15.6">
      <c r="A76" s="595" t="s">
        <v>8</v>
      </c>
      <c r="B76" s="596"/>
      <c r="C76" s="596"/>
      <c r="D76" s="596"/>
      <c r="E76" s="596"/>
      <c r="F76" s="292"/>
      <c r="G76" s="292"/>
      <c r="H76" s="148">
        <f>'Cifras Historicas'!H53</f>
        <v>21499000</v>
      </c>
      <c r="I76" s="148">
        <f>'Cifras Historicas'!I53</f>
        <v>60014000</v>
      </c>
      <c r="J76" s="148">
        <f>'Cifras Historicas'!J53</f>
        <v>-110209426</v>
      </c>
      <c r="K76" s="148">
        <f>SUM(K72:K75)</f>
        <v>-107972174.65219998</v>
      </c>
      <c r="L76" s="148">
        <f>SUM(L72:L75)</f>
        <v>-106313290.16084363</v>
      </c>
      <c r="M76" s="148">
        <f>SUM(M72:M75)</f>
        <v>-106289369.67055744</v>
      </c>
      <c r="N76" s="148">
        <f>SUM(N72:N75)</f>
        <v>-107331005.49332884</v>
      </c>
      <c r="O76" s="148">
        <f>SUM(O72:O75)</f>
        <v>-111334451.99823</v>
      </c>
    </row>
    <row r="77" spans="1:18">
      <c r="A77" s="131"/>
      <c r="B77" s="131"/>
      <c r="C77" s="131"/>
      <c r="D77" s="131"/>
      <c r="E77" s="131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8" ht="15.6">
      <c r="A78" s="561" t="s">
        <v>9</v>
      </c>
      <c r="B78" s="562"/>
      <c r="C78" s="562"/>
      <c r="D78" s="562"/>
      <c r="E78" s="562"/>
      <c r="F78" s="421"/>
      <c r="G78" s="421"/>
      <c r="H78" s="420">
        <f t="shared" ref="H78:O78" si="12">H69+H76</f>
        <v>169412000</v>
      </c>
      <c r="I78" s="420">
        <f t="shared" si="12"/>
        <v>266738000</v>
      </c>
      <c r="J78" s="420">
        <f t="shared" si="12"/>
        <v>276941073</v>
      </c>
      <c r="K78" s="416">
        <f t="shared" si="12"/>
        <v>271319169.21810001</v>
      </c>
      <c r="L78" s="416">
        <f t="shared" si="12"/>
        <v>267150621.50223303</v>
      </c>
      <c r="M78" s="416">
        <f t="shared" si="12"/>
        <v>267090512.61239499</v>
      </c>
      <c r="N78" s="416">
        <f t="shared" si="12"/>
        <v>269707999.63599646</v>
      </c>
      <c r="O78" s="416">
        <f t="shared" si="12"/>
        <v>279768108.02241915</v>
      </c>
    </row>
    <row r="79" spans="1:18" ht="16.2">
      <c r="F79" s="32"/>
      <c r="K79" s="32"/>
      <c r="L79" s="32"/>
      <c r="M79" s="32"/>
      <c r="N79" s="32"/>
      <c r="O79" s="32"/>
      <c r="Q79" s="614"/>
      <c r="R79" s="614"/>
    </row>
    <row r="80" spans="1:18">
      <c r="A80" s="561" t="s">
        <v>16</v>
      </c>
      <c r="B80" s="562"/>
      <c r="C80" s="562"/>
      <c r="D80" s="562"/>
      <c r="E80" s="562"/>
      <c r="F80" s="421"/>
      <c r="G80" s="421"/>
      <c r="H80" s="423">
        <f t="shared" ref="H80:O80" si="13">H54-H78</f>
        <v>0</v>
      </c>
      <c r="I80" s="423">
        <f t="shared" si="13"/>
        <v>0</v>
      </c>
      <c r="J80" s="423">
        <f t="shared" si="13"/>
        <v>0</v>
      </c>
      <c r="K80" s="161">
        <f t="shared" si="13"/>
        <v>0</v>
      </c>
      <c r="L80" s="161">
        <f t="shared" si="13"/>
        <v>0</v>
      </c>
      <c r="M80" s="161">
        <f t="shared" si="13"/>
        <v>0</v>
      </c>
      <c r="N80" s="161">
        <f t="shared" si="13"/>
        <v>0</v>
      </c>
      <c r="O80" s="161">
        <f t="shared" si="13"/>
        <v>0</v>
      </c>
    </row>
    <row r="82" spans="1:15" ht="15" thickBot="1"/>
    <row r="83" spans="1:15" ht="15" thickBot="1">
      <c r="A83" s="561" t="s">
        <v>25</v>
      </c>
      <c r="B83" s="562"/>
      <c r="C83" s="562"/>
      <c r="D83" s="562"/>
      <c r="E83" s="562"/>
      <c r="F83" s="421"/>
      <c r="G83" s="421"/>
      <c r="H83" s="424">
        <f>'Cifras Historicas'!H63</f>
        <v>2017</v>
      </c>
      <c r="I83" s="424">
        <f>'Cifras Historicas'!I63</f>
        <v>2018</v>
      </c>
      <c r="J83" s="425">
        <f>'Cifras Historicas'!J63</f>
        <v>2019</v>
      </c>
      <c r="K83" s="412">
        <f>K38</f>
        <v>2020</v>
      </c>
      <c r="L83" s="413">
        <f>L38</f>
        <v>2021</v>
      </c>
      <c r="M83" s="413">
        <f>M38</f>
        <v>2022</v>
      </c>
      <c r="N83" s="413">
        <f>N38</f>
        <v>2023</v>
      </c>
      <c r="O83" s="414">
        <f>O38</f>
        <v>2024</v>
      </c>
    </row>
    <row r="84" spans="1:15">
      <c r="A84" s="597" t="s">
        <v>22</v>
      </c>
      <c r="B84" s="598"/>
      <c r="C84" s="598"/>
      <c r="D84" s="598"/>
      <c r="E84" s="598"/>
      <c r="F84" s="426"/>
      <c r="G84" s="426"/>
      <c r="H84" s="426"/>
      <c r="I84" s="426"/>
      <c r="J84" s="426"/>
      <c r="K84" s="592"/>
      <c r="L84" s="593"/>
      <c r="M84" s="593"/>
      <c r="N84" s="593"/>
      <c r="O84" s="594"/>
    </row>
    <row r="85" spans="1:15" ht="15.6">
      <c r="A85" s="563" t="s">
        <v>213</v>
      </c>
      <c r="B85" s="564"/>
      <c r="C85" s="564"/>
      <c r="D85" s="564"/>
      <c r="E85" s="564"/>
      <c r="F85" s="292"/>
      <c r="G85" s="292"/>
      <c r="H85" s="134">
        <f>+'Cifras Historicas'!H65</f>
        <v>217892000</v>
      </c>
      <c r="I85" s="134">
        <f>+'Cifras Historicas'!I65</f>
        <v>1273888000</v>
      </c>
      <c r="J85" s="134">
        <f>+'Cifras Historicas'!J65</f>
        <v>1515597985</v>
      </c>
      <c r="K85" s="134">
        <f>J85*(1+K$29)</f>
        <v>1484831345.9045</v>
      </c>
      <c r="L85" s="134">
        <f>K85*(1+L$29)</f>
        <v>1462018397.1060231</v>
      </c>
      <c r="M85" s="134">
        <f>L85*(1+M$29)</f>
        <v>1461689442.9666741</v>
      </c>
      <c r="N85" s="134">
        <f>M85*(1+N$29)</f>
        <v>1476013999.5077477</v>
      </c>
      <c r="O85" s="134">
        <f>N85*(1+O$29)</f>
        <v>1531069321.6893864</v>
      </c>
    </row>
    <row r="86" spans="1:15" ht="15.6">
      <c r="A86" s="563" t="s">
        <v>214</v>
      </c>
      <c r="B86" s="564"/>
      <c r="C86" s="564"/>
      <c r="D86" s="564"/>
      <c r="E86" s="564"/>
      <c r="F86" s="292"/>
      <c r="G86" s="292"/>
      <c r="H86" s="134">
        <f>+'Cifras Historicas'!H66</f>
        <v>148992000</v>
      </c>
      <c r="I86" s="134">
        <f>+'Cifras Historicas'!I66</f>
        <v>719813000</v>
      </c>
      <c r="J86" s="134">
        <f>+'Cifras Historicas'!J66</f>
        <v>1008506060</v>
      </c>
      <c r="K86" s="135">
        <f>K85*'Cifras Historicas'!$P$66</f>
        <v>947450217.58058441</v>
      </c>
      <c r="L86" s="135">
        <f>L85*'Cifras Historicas'!$P$66</f>
        <v>932893592.43767619</v>
      </c>
      <c r="M86" s="135">
        <f>M85*'Cifras Historicas'!$P$66</f>
        <v>932683691.3793776</v>
      </c>
      <c r="N86" s="135">
        <f>N85*'Cifras Historicas'!$P$66</f>
        <v>941823991.55489564</v>
      </c>
      <c r="O86" s="135">
        <f>O85*'Cifras Historicas'!$P$66</f>
        <v>976954026.43989301</v>
      </c>
    </row>
    <row r="87" spans="1:15" ht="15.6">
      <c r="A87" s="595" t="s">
        <v>19</v>
      </c>
      <c r="B87" s="596"/>
      <c r="C87" s="596"/>
      <c r="D87" s="596"/>
      <c r="E87" s="596"/>
      <c r="F87" s="292"/>
      <c r="G87" s="292"/>
      <c r="H87" s="145">
        <f t="shared" ref="H87:O87" si="14">H85-H86</f>
        <v>68900000</v>
      </c>
      <c r="I87" s="145">
        <f t="shared" si="14"/>
        <v>554075000</v>
      </c>
      <c r="J87" s="145">
        <f t="shared" si="14"/>
        <v>507091925</v>
      </c>
      <c r="K87" s="145">
        <f t="shared" si="14"/>
        <v>537381128.3239156</v>
      </c>
      <c r="L87" s="145">
        <f t="shared" si="14"/>
        <v>529124804.66834688</v>
      </c>
      <c r="M87" s="145">
        <f t="shared" si="14"/>
        <v>529005751.58729649</v>
      </c>
      <c r="N87" s="145">
        <f t="shared" si="14"/>
        <v>534190007.95285201</v>
      </c>
      <c r="O87" s="145">
        <f t="shared" si="14"/>
        <v>554115295.24949336</v>
      </c>
    </row>
    <row r="88" spans="1:15" ht="15.6">
      <c r="A88" s="563" t="s">
        <v>215</v>
      </c>
      <c r="B88" s="564"/>
      <c r="C88" s="564"/>
      <c r="D88" s="564"/>
      <c r="E88" s="564"/>
      <c r="F88" s="292"/>
      <c r="G88" s="292"/>
      <c r="H88" s="135">
        <f>+'Cifras Historicas'!H68</f>
        <v>50704000</v>
      </c>
      <c r="I88" s="135">
        <f>+'Cifras Historicas'!I68</f>
        <v>410753000</v>
      </c>
      <c r="J88" s="135">
        <f>+'Cifras Historicas'!J68</f>
        <v>495859357</v>
      </c>
      <c r="K88" s="135">
        <f>K85*'Cifras Historicas'!$P$68</f>
        <v>436695650.97321987</v>
      </c>
      <c r="L88" s="135">
        <f>L85*'Cifras Historicas'!$P$68</f>
        <v>429986258.99166727</v>
      </c>
      <c r="M88" s="135">
        <f>M85*'Cifras Historicas'!$P$68</f>
        <v>429889512.08339411</v>
      </c>
      <c r="N88" s="135">
        <f>N85*'Cifras Historicas'!$P$68</f>
        <v>434102429.3018114</v>
      </c>
      <c r="O88" s="135">
        <f>O85*'Cifras Historicas'!$P$68</f>
        <v>450294449.91476887</v>
      </c>
    </row>
    <row r="89" spans="1:15" ht="15.6">
      <c r="A89" s="563" t="s">
        <v>216</v>
      </c>
      <c r="B89" s="564"/>
      <c r="C89" s="564"/>
      <c r="D89" s="564"/>
      <c r="E89" s="564"/>
      <c r="F89" s="292"/>
      <c r="G89" s="292"/>
      <c r="H89" s="135">
        <f>+'Cifras Historicas'!H69</f>
        <v>8416000</v>
      </c>
      <c r="I89" s="135">
        <f>+'Cifras Historicas'!I69</f>
        <v>189865000</v>
      </c>
      <c r="J89" s="135">
        <f>+'Cifras Historicas'!J69</f>
        <v>161148076</v>
      </c>
      <c r="K89" s="135">
        <f>K85*'Cifras Historicas'!$P$69</f>
        <v>145510875.25935632</v>
      </c>
      <c r="L89" s="135">
        <f>L85*'Cifras Historicas'!$P$69</f>
        <v>143275246.17187154</v>
      </c>
      <c r="M89" s="135">
        <f>M85*'Cifras Historicas'!$P$69</f>
        <v>143243009.24148288</v>
      </c>
      <c r="N89" s="135">
        <f>N85*'Cifras Historicas'!$P$69</f>
        <v>144646790.73204941</v>
      </c>
      <c r="O89" s="135">
        <f>O85*'Cifras Historicas'!$P$69</f>
        <v>150042116.02635485</v>
      </c>
    </row>
    <row r="90" spans="1:15" ht="15.6">
      <c r="A90" s="595" t="s">
        <v>20</v>
      </c>
      <c r="B90" s="596"/>
      <c r="C90" s="596"/>
      <c r="D90" s="596"/>
      <c r="E90" s="596"/>
      <c r="F90" s="292"/>
      <c r="G90" s="292"/>
      <c r="H90" s="145">
        <f t="shared" ref="H90:O90" si="15">H87-H88-H89</f>
        <v>9780000</v>
      </c>
      <c r="I90" s="145">
        <f t="shared" si="15"/>
        <v>-46543000</v>
      </c>
      <c r="J90" s="145">
        <f t="shared" si="15"/>
        <v>-149915508</v>
      </c>
      <c r="K90" s="145">
        <f t="shared" si="15"/>
        <v>-44825397.908660591</v>
      </c>
      <c r="L90" s="145">
        <f t="shared" si="15"/>
        <v>-44136700.495191932</v>
      </c>
      <c r="M90" s="145">
        <f t="shared" si="15"/>
        <v>-44126769.737580508</v>
      </c>
      <c r="N90" s="145">
        <f t="shared" si="15"/>
        <v>-44559212.081008792</v>
      </c>
      <c r="O90" s="145">
        <f t="shared" si="15"/>
        <v>-46221270.691630363</v>
      </c>
    </row>
    <row r="91" spans="1:15">
      <c r="A91" s="525" t="s">
        <v>23</v>
      </c>
      <c r="B91" s="526"/>
      <c r="C91" s="526"/>
      <c r="D91" s="526"/>
      <c r="E91" s="526"/>
      <c r="F91" s="320"/>
      <c r="G91" s="320"/>
      <c r="H91" s="320"/>
      <c r="I91" s="320"/>
      <c r="J91" s="321"/>
      <c r="K91" s="411"/>
      <c r="L91" s="411"/>
      <c r="M91" s="411"/>
      <c r="N91" s="411"/>
      <c r="O91" s="411"/>
    </row>
    <row r="92" spans="1:15" ht="15.6">
      <c r="A92" s="563" t="s">
        <v>217</v>
      </c>
      <c r="B92" s="564"/>
      <c r="C92" s="564"/>
      <c r="D92" s="564"/>
      <c r="E92" s="564"/>
      <c r="F92" s="292"/>
      <c r="G92" s="292"/>
      <c r="H92" s="134">
        <f>+'Cifras Historicas'!H72</f>
        <v>12000</v>
      </c>
      <c r="I92" s="134">
        <f>+'Cifras Historicas'!I72</f>
        <v>5328000</v>
      </c>
      <c r="J92" s="134">
        <f>+'Cifras Historicas'!J72</f>
        <v>18359177</v>
      </c>
      <c r="K92" s="134">
        <f>K85*'Cifras Historicas'!$P$72</f>
        <v>8092841.5149283363</v>
      </c>
      <c r="L92" s="134">
        <f>L85*'Cifras Historicas'!$P$72</f>
        <v>7968503.0978929764</v>
      </c>
      <c r="M92" s="134">
        <f>M85*'Cifras Historicas'!$P$72</f>
        <v>7966710.1846959498</v>
      </c>
      <c r="N92" s="134">
        <f>N85*'Cifras Historicas'!$P$72</f>
        <v>8044783.9445059709</v>
      </c>
      <c r="O92" s="134">
        <f>O85*'Cifras Historicas'!$P$72</f>
        <v>8344854.3856360419</v>
      </c>
    </row>
    <row r="93" spans="1:15" ht="15.6">
      <c r="A93" s="563" t="s">
        <v>218</v>
      </c>
      <c r="B93" s="564"/>
      <c r="C93" s="564"/>
      <c r="D93" s="564"/>
      <c r="E93" s="564"/>
      <c r="F93" s="292"/>
      <c r="G93" s="292"/>
      <c r="H93" s="134">
        <f>+'Cifras Historicas'!H73</f>
        <v>0</v>
      </c>
      <c r="I93" s="134">
        <f>+'Cifras Historicas'!I73</f>
        <v>0</v>
      </c>
      <c r="J93" s="134">
        <f>+'Cifras Historicas'!J73</f>
        <v>0</v>
      </c>
      <c r="K93" s="135">
        <f>K85*'Cifras Historicas'!$P$73</f>
        <v>0</v>
      </c>
      <c r="L93" s="135">
        <f>L85*'Cifras Historicas'!$P$73</f>
        <v>0</v>
      </c>
      <c r="M93" s="135">
        <f>M85*'Cifras Historicas'!$P$73</f>
        <v>0</v>
      </c>
      <c r="N93" s="135">
        <f>N85*'Cifras Historicas'!$P$73</f>
        <v>0</v>
      </c>
      <c r="O93" s="135">
        <f>O85*'Cifras Historicas'!$P$73</f>
        <v>0</v>
      </c>
    </row>
    <row r="94" spans="1:15" ht="15.6">
      <c r="A94" s="563" t="s">
        <v>219</v>
      </c>
      <c r="B94" s="564"/>
      <c r="C94" s="564"/>
      <c r="D94" s="564"/>
      <c r="E94" s="564"/>
      <c r="F94" s="292"/>
      <c r="G94" s="292"/>
      <c r="H94" s="134">
        <f>+'Cifras Historicas'!H74</f>
        <v>273000</v>
      </c>
      <c r="I94" s="134">
        <f>+'Cifras Historicas'!I74</f>
        <v>13882000</v>
      </c>
      <c r="J94" s="134">
        <f>+'Cifras Historicas'!J74</f>
        <v>40575654</v>
      </c>
      <c r="K94" s="135">
        <f>K85*'Cifras Historicas'!$P$74</f>
        <v>19264352.513363667</v>
      </c>
      <c r="L94" s="135">
        <f>L85*'Cifras Historicas'!$P$74</f>
        <v>18968375.001348346</v>
      </c>
      <c r="M94" s="135">
        <f>M85*'Cifras Historicas'!$P$74</f>
        <v>18964107.116973042</v>
      </c>
      <c r="N94" s="135">
        <f>N85*'Cifras Historicas'!$P$74</f>
        <v>19149955.36671938</v>
      </c>
      <c r="O94" s="135">
        <f>O85*'Cifras Historicas'!$P$74</f>
        <v>19864248.701898009</v>
      </c>
    </row>
    <row r="95" spans="1:15">
      <c r="A95" s="525" t="s">
        <v>24</v>
      </c>
      <c r="B95" s="526"/>
      <c r="C95" s="526"/>
      <c r="D95" s="526"/>
      <c r="E95" s="526"/>
      <c r="F95" s="320"/>
      <c r="G95" s="320"/>
      <c r="H95" s="320"/>
      <c r="I95" s="320"/>
      <c r="J95" s="321"/>
      <c r="K95" s="411"/>
      <c r="L95" s="411"/>
      <c r="M95" s="411"/>
      <c r="N95" s="411"/>
      <c r="O95" s="411"/>
    </row>
    <row r="96" spans="1:15" ht="15.6">
      <c r="A96" s="595" t="s">
        <v>21</v>
      </c>
      <c r="B96" s="596"/>
      <c r="C96" s="596"/>
      <c r="D96" s="596"/>
      <c r="E96" s="596"/>
      <c r="F96" s="292"/>
      <c r="G96" s="292"/>
      <c r="H96" s="145">
        <f t="shared" ref="H96:O96" si="16">H90+H92-H93-H94</f>
        <v>9519000</v>
      </c>
      <c r="I96" s="145">
        <f t="shared" si="16"/>
        <v>-55097000</v>
      </c>
      <c r="J96" s="145">
        <f t="shared" si="16"/>
        <v>-172131985</v>
      </c>
      <c r="K96" s="145">
        <f t="shared" si="16"/>
        <v>-55996908.907095924</v>
      </c>
      <c r="L96" s="145">
        <f t="shared" si="16"/>
        <v>-55136572.398647301</v>
      </c>
      <c r="M96" s="145">
        <f t="shared" si="16"/>
        <v>-55124166.669857599</v>
      </c>
      <c r="N96" s="145">
        <f t="shared" si="16"/>
        <v>-55664383.503222197</v>
      </c>
      <c r="O96" s="145">
        <f t="shared" si="16"/>
        <v>-57740665.007892333</v>
      </c>
    </row>
    <row r="97" spans="1:15" ht="15.6">
      <c r="A97" s="563" t="s">
        <v>220</v>
      </c>
      <c r="B97" s="564"/>
      <c r="C97" s="564"/>
      <c r="D97" s="564"/>
      <c r="E97" s="564"/>
      <c r="F97" s="292"/>
      <c r="G97" s="292"/>
      <c r="H97" s="135">
        <f>+'Cifras Historicas'!H77</f>
        <v>3320000</v>
      </c>
      <c r="I97" s="135">
        <f>+'Cifras Historicas'!I77</f>
        <v>221000</v>
      </c>
      <c r="J97" s="135">
        <f>+'Cifras Historicas'!J77</f>
        <v>287000</v>
      </c>
      <c r="K97" s="135">
        <f>+IF(K96&lt;0,0,K85*'Cifras Historicas'!$P$77)</f>
        <v>0</v>
      </c>
      <c r="L97" s="135">
        <f>+IF(L96&lt;0,0,L85*'Cifras Historicas'!$P$77)</f>
        <v>0</v>
      </c>
      <c r="M97" s="135">
        <f>+IF(M96&lt;0,0,M85*'Cifras Historicas'!$P$77)</f>
        <v>0</v>
      </c>
      <c r="N97" s="135">
        <f>+IF(N96&lt;0,0,N85*'Cifras Historicas'!$P$77)</f>
        <v>0</v>
      </c>
      <c r="O97" s="135">
        <f>+IF(O96&lt;0,0,O85*'Cifras Historicas'!$P$77)</f>
        <v>0</v>
      </c>
    </row>
    <row r="98" spans="1:15" ht="15.6">
      <c r="A98" s="595" t="s">
        <v>221</v>
      </c>
      <c r="B98" s="596"/>
      <c r="C98" s="596"/>
      <c r="D98" s="596"/>
      <c r="E98" s="596"/>
      <c r="F98" s="292"/>
      <c r="G98" s="292"/>
      <c r="H98" s="145">
        <f t="shared" ref="H98:O98" si="17">H96-H97</f>
        <v>6199000</v>
      </c>
      <c r="I98" s="145">
        <f t="shared" si="17"/>
        <v>-55318000</v>
      </c>
      <c r="J98" s="145">
        <f t="shared" si="17"/>
        <v>-172418985</v>
      </c>
      <c r="K98" s="145">
        <f t="shared" si="17"/>
        <v>-55996908.907095924</v>
      </c>
      <c r="L98" s="145">
        <f t="shared" si="17"/>
        <v>-55136572.398647301</v>
      </c>
      <c r="M98" s="145">
        <f t="shared" si="17"/>
        <v>-55124166.669857599</v>
      </c>
      <c r="N98" s="145">
        <f t="shared" si="17"/>
        <v>-55664383.503222197</v>
      </c>
      <c r="O98" s="145">
        <f t="shared" si="17"/>
        <v>-57740665.007892333</v>
      </c>
    </row>
    <row r="99" spans="1:15">
      <c r="G99" s="37"/>
      <c r="H99" s="37"/>
      <c r="I99" s="37"/>
      <c r="J99" s="37"/>
      <c r="K99" s="37"/>
      <c r="L99" s="37"/>
      <c r="M99" s="37"/>
      <c r="N99" s="37"/>
      <c r="O99" s="37"/>
    </row>
    <row r="100" spans="1:15">
      <c r="F100" s="121"/>
      <c r="G100" s="121"/>
      <c r="H100" s="121"/>
      <c r="I100" s="121"/>
      <c r="J100" s="121"/>
    </row>
    <row r="101" spans="1:15" ht="15" thickBot="1"/>
    <row r="102" spans="1:15" ht="16.2" thickBot="1">
      <c r="A102" s="427" t="s">
        <v>222</v>
      </c>
      <c r="B102" s="428"/>
      <c r="C102" s="428"/>
      <c r="D102" s="428"/>
      <c r="E102" s="637"/>
      <c r="F102" s="637"/>
      <c r="G102" s="638"/>
      <c r="H102" s="437">
        <f t="shared" ref="H102:O102" si="18">H83</f>
        <v>2017</v>
      </c>
      <c r="I102" s="429">
        <f t="shared" si="18"/>
        <v>2018</v>
      </c>
      <c r="J102" s="430">
        <f t="shared" si="18"/>
        <v>2019</v>
      </c>
      <c r="K102" s="417">
        <f t="shared" si="18"/>
        <v>2020</v>
      </c>
      <c r="L102" s="418">
        <f t="shared" si="18"/>
        <v>2021</v>
      </c>
      <c r="M102" s="418">
        <f t="shared" si="18"/>
        <v>2022</v>
      </c>
      <c r="N102" s="418">
        <f t="shared" si="18"/>
        <v>2023</v>
      </c>
      <c r="O102" s="419">
        <f t="shared" si="18"/>
        <v>2024</v>
      </c>
    </row>
    <row r="103" spans="1:15" ht="15.6">
      <c r="A103" s="432" t="s">
        <v>223</v>
      </c>
      <c r="B103" s="433"/>
      <c r="C103" s="433"/>
      <c r="D103" s="433"/>
      <c r="E103" s="433"/>
      <c r="F103" s="431"/>
      <c r="G103" s="434"/>
      <c r="H103" s="438">
        <f>+'Cifras Historicas'!H83</f>
        <v>722000</v>
      </c>
      <c r="I103" s="134">
        <f>+'Cifras Historicas'!I83</f>
        <v>12019000</v>
      </c>
      <c r="J103" s="134">
        <f>+'Cifras Historicas'!J83</f>
        <v>10589174</v>
      </c>
      <c r="K103" s="134">
        <f>AVERAGE(F103:J103)</f>
        <v>7776724.666666667</v>
      </c>
      <c r="L103" s="134">
        <f t="shared" ref="L103:O103" si="19">AVERAGE(G103:K103)</f>
        <v>7776724.666666667</v>
      </c>
      <c r="M103" s="134">
        <f t="shared" si="19"/>
        <v>7776724.666666667</v>
      </c>
      <c r="N103" s="134">
        <f t="shared" si="19"/>
        <v>9187669.5999999996</v>
      </c>
      <c r="O103" s="439">
        <f t="shared" si="19"/>
        <v>8621403.5199999996</v>
      </c>
    </row>
    <row r="104" spans="1:15" ht="16.2" thickBot="1">
      <c r="A104" s="137" t="s">
        <v>224</v>
      </c>
      <c r="B104" s="138"/>
      <c r="C104" s="138"/>
      <c r="D104" s="138"/>
      <c r="E104" s="138"/>
      <c r="F104" s="435"/>
      <c r="G104" s="436"/>
      <c r="H104" s="440">
        <f>+'Cifras Historicas'!H84</f>
        <v>0</v>
      </c>
      <c r="I104" s="441">
        <f>+'Cifras Historicas'!I84</f>
        <v>76000</v>
      </c>
      <c r="J104" s="441">
        <f>+'Cifras Historicas'!J84</f>
        <v>1839800</v>
      </c>
      <c r="K104" s="441">
        <f>AVERAGE(F104:J104)</f>
        <v>638600</v>
      </c>
      <c r="L104" s="441">
        <f t="shared" ref="L104:O104" si="20">AVERAGE(G104:K104)</f>
        <v>638600</v>
      </c>
      <c r="M104" s="441">
        <f t="shared" si="20"/>
        <v>638600</v>
      </c>
      <c r="N104" s="441">
        <f t="shared" si="20"/>
        <v>766320</v>
      </c>
      <c r="O104" s="442">
        <f t="shared" si="20"/>
        <v>904384</v>
      </c>
    </row>
    <row r="110" spans="1:15" s="40" customFormat="1">
      <c r="A110" s="569" t="s">
        <v>374</v>
      </c>
      <c r="B110" s="569"/>
    </row>
    <row r="111" spans="1:15" s="40" customFormat="1">
      <c r="A111" s="140"/>
    </row>
    <row r="112" spans="1:15" s="40" customFormat="1"/>
    <row r="113" spans="1:5" s="40" customFormat="1">
      <c r="A113" s="351" t="s">
        <v>267</v>
      </c>
      <c r="B113" s="336">
        <v>2017</v>
      </c>
      <c r="C113" s="336">
        <v>2018</v>
      </c>
      <c r="D113" s="336">
        <v>2019</v>
      </c>
    </row>
    <row r="114" spans="1:5" s="40" customFormat="1">
      <c r="A114" s="303" t="s">
        <v>268</v>
      </c>
      <c r="B114" s="342">
        <f>+H98</f>
        <v>6199000</v>
      </c>
      <c r="C114" s="342">
        <f>+I98</f>
        <v>-55318000</v>
      </c>
      <c r="D114" s="342">
        <f>+J98</f>
        <v>-172418985</v>
      </c>
    </row>
    <row r="115" spans="1:5" s="40" customFormat="1">
      <c r="A115" s="304" t="s">
        <v>269</v>
      </c>
      <c r="B115" s="342">
        <f>+H97</f>
        <v>3320000</v>
      </c>
      <c r="C115" s="342">
        <f>+I97</f>
        <v>221000</v>
      </c>
      <c r="D115" s="342">
        <f>+J97</f>
        <v>287000</v>
      </c>
    </row>
    <row r="116" spans="1:5" s="40" customFormat="1">
      <c r="A116" s="304" t="s">
        <v>270</v>
      </c>
      <c r="B116" s="342">
        <f>+H94</f>
        <v>273000</v>
      </c>
      <c r="C116" s="342">
        <f>+I94</f>
        <v>13882000</v>
      </c>
      <c r="D116" s="342">
        <f>+J94</f>
        <v>40575654</v>
      </c>
    </row>
    <row r="117" spans="1:5" s="40" customFormat="1">
      <c r="A117" s="337" t="s">
        <v>80</v>
      </c>
      <c r="B117" s="352">
        <f>+B114+B115+B116</f>
        <v>9792000</v>
      </c>
      <c r="C117" s="352">
        <f t="shared" ref="C117:D117" si="21">+C114+C115+C116</f>
        <v>-41215000</v>
      </c>
      <c r="D117" s="352">
        <f t="shared" si="21"/>
        <v>-131556331</v>
      </c>
    </row>
    <row r="118" spans="1:5" s="40" customFormat="1">
      <c r="A118" s="304" t="s">
        <v>223</v>
      </c>
      <c r="B118" s="342">
        <f t="shared" ref="B118:D119" si="22">+H103</f>
        <v>722000</v>
      </c>
      <c r="C118" s="342">
        <f t="shared" si="22"/>
        <v>12019000</v>
      </c>
      <c r="D118" s="342">
        <f t="shared" si="22"/>
        <v>10589174</v>
      </c>
    </row>
    <row r="119" spans="1:5" s="40" customFormat="1">
      <c r="A119" s="304" t="s">
        <v>224</v>
      </c>
      <c r="B119" s="342">
        <f t="shared" si="22"/>
        <v>0</v>
      </c>
      <c r="C119" s="342">
        <f t="shared" si="22"/>
        <v>76000</v>
      </c>
      <c r="D119" s="342">
        <f t="shared" si="22"/>
        <v>1839800</v>
      </c>
      <c r="E119" s="336" t="s">
        <v>231</v>
      </c>
    </row>
    <row r="120" spans="1:5" s="40" customFormat="1">
      <c r="A120" s="337" t="s">
        <v>266</v>
      </c>
      <c r="B120" s="352">
        <f>+B117+B118+B119</f>
        <v>10514000</v>
      </c>
      <c r="C120" s="352">
        <f t="shared" ref="C120:D120" si="23">+C117+C118+C119</f>
        <v>-29120000</v>
      </c>
      <c r="D120" s="352">
        <f t="shared" si="23"/>
        <v>-119127357</v>
      </c>
      <c r="E120" s="353">
        <f>+AVERAGE(B120:D120)</f>
        <v>-45911119</v>
      </c>
    </row>
    <row r="121" spans="1:5" s="40" customFormat="1">
      <c r="A121" s="140"/>
      <c r="B121" s="140"/>
      <c r="C121" s="140"/>
      <c r="D121" s="140"/>
    </row>
    <row r="122" spans="1:5" s="40" customFormat="1"/>
    <row r="123" spans="1:5" s="40" customFormat="1">
      <c r="A123" s="351" t="s">
        <v>271</v>
      </c>
      <c r="B123" s="336">
        <v>2017</v>
      </c>
      <c r="C123" s="336">
        <v>2018</v>
      </c>
      <c r="D123" s="336">
        <v>2019</v>
      </c>
    </row>
    <row r="124" spans="1:5" s="40" customFormat="1">
      <c r="A124" s="303" t="s">
        <v>272</v>
      </c>
      <c r="B124" s="342">
        <f>+H90</f>
        <v>9780000</v>
      </c>
      <c r="C124" s="342">
        <f>+I90</f>
        <v>-46543000</v>
      </c>
      <c r="D124" s="342">
        <f>+J90</f>
        <v>-149915508</v>
      </c>
    </row>
    <row r="125" spans="1:5" s="40" customFormat="1">
      <c r="A125" s="304" t="s">
        <v>223</v>
      </c>
      <c r="B125" s="342">
        <f t="shared" ref="B125:D126" si="24">+H103</f>
        <v>722000</v>
      </c>
      <c r="C125" s="342">
        <f t="shared" si="24"/>
        <v>12019000</v>
      </c>
      <c r="D125" s="342">
        <f t="shared" si="24"/>
        <v>10589174</v>
      </c>
    </row>
    <row r="126" spans="1:5" s="40" customFormat="1">
      <c r="A126" s="304" t="s">
        <v>224</v>
      </c>
      <c r="B126" s="342">
        <f t="shared" si="24"/>
        <v>0</v>
      </c>
      <c r="C126" s="342">
        <f t="shared" si="24"/>
        <v>76000</v>
      </c>
      <c r="D126" s="342">
        <f t="shared" si="24"/>
        <v>1839800</v>
      </c>
      <c r="E126" s="336" t="s">
        <v>231</v>
      </c>
    </row>
    <row r="127" spans="1:5" s="40" customFormat="1">
      <c r="A127" s="337" t="s">
        <v>266</v>
      </c>
      <c r="B127" s="354">
        <f>B124+B125+B126</f>
        <v>10502000</v>
      </c>
      <c r="C127" s="354">
        <f t="shared" ref="C127:D127" si="25">C124+C125+C126</f>
        <v>-34448000</v>
      </c>
      <c r="D127" s="354">
        <f t="shared" si="25"/>
        <v>-137486534</v>
      </c>
      <c r="E127" s="353">
        <f>+AVERAGE(B127:D127)</f>
        <v>-53810844.666666664</v>
      </c>
    </row>
    <row r="128" spans="1:5" s="40" customFormat="1"/>
    <row r="129" spans="1:5" s="40" customFormat="1"/>
    <row r="130" spans="1:5" s="40" customFormat="1">
      <c r="A130" s="140"/>
      <c r="B130" s="336">
        <v>2017</v>
      </c>
      <c r="C130" s="336">
        <v>2018</v>
      </c>
      <c r="D130" s="336">
        <v>2019</v>
      </c>
    </row>
    <row r="131" spans="1:5" s="40" customFormat="1">
      <c r="A131" s="51" t="s">
        <v>29</v>
      </c>
      <c r="B131" s="342">
        <f>+H85</f>
        <v>217892000</v>
      </c>
      <c r="C131" s="342">
        <f>+I85</f>
        <v>1273888000</v>
      </c>
      <c r="D131" s="342">
        <f>+J85</f>
        <v>1515597985</v>
      </c>
    </row>
    <row r="132" spans="1:5" s="40" customFormat="1">
      <c r="A132" s="51" t="s">
        <v>30</v>
      </c>
      <c r="B132" s="342">
        <f>+B127</f>
        <v>10502000</v>
      </c>
      <c r="C132" s="342">
        <f t="shared" ref="C132:D132" si="26">+C127</f>
        <v>-34448000</v>
      </c>
      <c r="D132" s="342">
        <f t="shared" si="26"/>
        <v>-137486534</v>
      </c>
      <c r="E132" s="336" t="s">
        <v>231</v>
      </c>
    </row>
    <row r="133" spans="1:5" s="40" customFormat="1">
      <c r="A133" s="337" t="s">
        <v>273</v>
      </c>
      <c r="B133" s="355">
        <f>+B132/B131</f>
        <v>4.819818992895563E-2</v>
      </c>
      <c r="C133" s="355">
        <f t="shared" ref="C133:D133" si="27">+C132/C131</f>
        <v>-2.7041623753422592E-2</v>
      </c>
      <c r="D133" s="355">
        <f t="shared" si="27"/>
        <v>-9.0714381624095383E-2</v>
      </c>
      <c r="E133" s="356">
        <f>+AVERAGE(B133:D133)</f>
        <v>-2.3185938482854117E-2</v>
      </c>
    </row>
    <row r="134" spans="1:5" s="40" customFormat="1"/>
    <row r="135" spans="1:5" s="40" customFormat="1"/>
    <row r="136" spans="1:5" s="40" customFormat="1"/>
    <row r="137" spans="1:5" s="40" customFormat="1">
      <c r="A137" s="357" t="s">
        <v>274</v>
      </c>
      <c r="B137" s="336">
        <v>2017</v>
      </c>
      <c r="C137" s="336">
        <v>2018</v>
      </c>
      <c r="D137" s="336">
        <v>2019</v>
      </c>
    </row>
    <row r="138" spans="1:5" s="40" customFormat="1">
      <c r="A138" s="51" t="s">
        <v>275</v>
      </c>
      <c r="B138" s="358">
        <f t="shared" ref="B138:D139" si="28">+H42</f>
        <v>135108000</v>
      </c>
      <c r="C138" s="358">
        <f t="shared" si="28"/>
        <v>179266000</v>
      </c>
      <c r="D138" s="358">
        <f t="shared" si="28"/>
        <v>123679734</v>
      </c>
      <c r="E138" s="42"/>
    </row>
    <row r="139" spans="1:5" s="40" customFormat="1">
      <c r="A139" s="51" t="s">
        <v>276</v>
      </c>
      <c r="B139" s="358">
        <f t="shared" si="28"/>
        <v>6148000</v>
      </c>
      <c r="C139" s="358">
        <f t="shared" si="28"/>
        <v>55834000</v>
      </c>
      <c r="D139" s="358">
        <f t="shared" si="28"/>
        <v>60622200</v>
      </c>
    </row>
    <row r="140" spans="1:5" s="40" customFormat="1">
      <c r="A140" s="51" t="s">
        <v>277</v>
      </c>
      <c r="B140" s="342">
        <f>+H58</f>
        <v>136248000</v>
      </c>
      <c r="C140" s="342">
        <f>+I58</f>
        <v>167772000</v>
      </c>
      <c r="D140" s="342">
        <f>+J58</f>
        <v>183137894</v>
      </c>
      <c r="E140" s="336" t="s">
        <v>231</v>
      </c>
    </row>
    <row r="141" spans="1:5" s="40" customFormat="1">
      <c r="A141" s="337" t="s">
        <v>278</v>
      </c>
      <c r="B141" s="352">
        <f>+B138+B139-B140</f>
        <v>5008000</v>
      </c>
      <c r="C141" s="352">
        <f t="shared" ref="C141" si="29">+C138+C139-C140</f>
        <v>67328000</v>
      </c>
      <c r="D141" s="352">
        <f>+D138+D139-D140</f>
        <v>1164040</v>
      </c>
      <c r="E141" s="353">
        <f>+AVERAGE(B141:D141)</f>
        <v>24500013.333333332</v>
      </c>
    </row>
    <row r="142" spans="1:5" s="40" customFormat="1"/>
    <row r="143" spans="1:5" s="40" customFormat="1">
      <c r="A143" s="140"/>
      <c r="B143" s="359"/>
      <c r="C143" s="359"/>
      <c r="D143" s="359"/>
      <c r="E143" s="42"/>
    </row>
    <row r="144" spans="1:5" s="40" customFormat="1"/>
    <row r="145" spans="1:5" s="40" customFormat="1">
      <c r="B145" s="336">
        <v>2017</v>
      </c>
      <c r="C145" s="336">
        <v>2018</v>
      </c>
      <c r="D145" s="336">
        <v>2019</v>
      </c>
    </row>
    <row r="146" spans="1:5" s="40" customFormat="1">
      <c r="A146" s="51" t="s">
        <v>29</v>
      </c>
      <c r="B146" s="443">
        <f>+H85</f>
        <v>217892000</v>
      </c>
      <c r="C146" s="443">
        <f>+I85</f>
        <v>1273888000</v>
      </c>
      <c r="D146" s="443">
        <f>+J85</f>
        <v>1515597985</v>
      </c>
    </row>
    <row r="147" spans="1:5" s="40" customFormat="1">
      <c r="A147" s="51" t="s">
        <v>278</v>
      </c>
      <c r="B147" s="443">
        <f>+B141</f>
        <v>5008000</v>
      </c>
      <c r="C147" s="443">
        <f t="shared" ref="C147:D147" si="30">+C141</f>
        <v>67328000</v>
      </c>
      <c r="D147" s="443">
        <f t="shared" si="30"/>
        <v>1164040</v>
      </c>
    </row>
    <row r="148" spans="1:5" s="40" customFormat="1">
      <c r="A148" s="51" t="s">
        <v>279</v>
      </c>
      <c r="B148" s="444">
        <f>+B147/B146</f>
        <v>2.2983863565436087E-2</v>
      </c>
      <c r="C148" s="444">
        <f t="shared" ref="C148" si="31">+C147/C146</f>
        <v>5.2852370067070262E-2</v>
      </c>
      <c r="D148" s="444">
        <f>+D147/D146</f>
        <v>7.680400815523649E-4</v>
      </c>
      <c r="E148" s="336" t="s">
        <v>231</v>
      </c>
    </row>
    <row r="149" spans="1:5" s="40" customFormat="1">
      <c r="A149" s="337" t="s">
        <v>280</v>
      </c>
      <c r="B149" s="445">
        <f>+B148</f>
        <v>2.2983863565436087E-2</v>
      </c>
      <c r="C149" s="445">
        <f t="shared" ref="C149" si="32">+C148</f>
        <v>5.2852370067070262E-2</v>
      </c>
      <c r="D149" s="445">
        <f>+D148</f>
        <v>7.680400815523649E-4</v>
      </c>
      <c r="E149" s="360">
        <f>+AVERAGE(B149:D149)</f>
        <v>2.5534757904686237E-2</v>
      </c>
    </row>
    <row r="150" spans="1:5" s="40" customFormat="1"/>
    <row r="151" spans="1:5" s="40" customFormat="1"/>
    <row r="152" spans="1:5" s="40" customFormat="1">
      <c r="A152" s="140"/>
    </row>
    <row r="153" spans="1:5" s="40" customFormat="1">
      <c r="A153" s="335" t="s">
        <v>282</v>
      </c>
      <c r="B153" s="336">
        <v>2017</v>
      </c>
      <c r="C153" s="336">
        <v>2018</v>
      </c>
      <c r="D153" s="336">
        <v>2019</v>
      </c>
    </row>
    <row r="154" spans="1:5" s="40" customFormat="1">
      <c r="A154" s="51" t="s">
        <v>29</v>
      </c>
      <c r="B154" s="305">
        <f>+H85</f>
        <v>217892000</v>
      </c>
      <c r="C154" s="305">
        <f>+I85</f>
        <v>1273888000</v>
      </c>
      <c r="D154" s="305">
        <f>+J85</f>
        <v>1515597985</v>
      </c>
    </row>
    <row r="155" spans="1:5" s="40" customFormat="1">
      <c r="A155" s="51" t="s">
        <v>281</v>
      </c>
      <c r="B155" s="342">
        <f>+H52</f>
        <v>25278000</v>
      </c>
      <c r="C155" s="342">
        <f>+I52</f>
        <v>20453000</v>
      </c>
      <c r="D155" s="342">
        <f>+J52</f>
        <v>10657046</v>
      </c>
      <c r="E155" s="336" t="s">
        <v>231</v>
      </c>
    </row>
    <row r="156" spans="1:5" s="40" customFormat="1">
      <c r="A156" s="337" t="s">
        <v>282</v>
      </c>
      <c r="B156" s="361">
        <f>+B154/B155</f>
        <v>8.6198275179998411</v>
      </c>
      <c r="C156" s="361">
        <f t="shared" ref="C156:D156" si="33">+C154/C155</f>
        <v>62.283674766537914</v>
      </c>
      <c r="D156" s="361">
        <f t="shared" si="33"/>
        <v>142.21558065903065</v>
      </c>
      <c r="E156" s="360">
        <f>+AVERAGE(B156:D156)</f>
        <v>71.039694314522805</v>
      </c>
    </row>
    <row r="157" spans="1:5" s="40" customFormat="1"/>
    <row r="158" spans="1:5" s="40" customFormat="1"/>
    <row r="159" spans="1:5" s="40" customFormat="1">
      <c r="A159" s="336" t="s">
        <v>283</v>
      </c>
      <c r="B159" s="336">
        <v>2017</v>
      </c>
      <c r="C159" s="336">
        <v>2018</v>
      </c>
      <c r="D159" s="336">
        <v>2019</v>
      </c>
    </row>
    <row r="160" spans="1:5" s="40" customFormat="1">
      <c r="A160" s="51" t="s">
        <v>273</v>
      </c>
      <c r="B160" s="248">
        <f>+B133</f>
        <v>4.819818992895563E-2</v>
      </c>
      <c r="C160" s="248">
        <f t="shared" ref="C160:D160" si="34">+C133</f>
        <v>-2.7041623753422592E-2</v>
      </c>
      <c r="D160" s="248">
        <f t="shared" si="34"/>
        <v>-9.0714381624095383E-2</v>
      </c>
    </row>
    <row r="161" spans="1:9" s="40" customFormat="1">
      <c r="A161" s="51" t="s">
        <v>284</v>
      </c>
      <c r="B161" s="248">
        <f>+B149</f>
        <v>2.2983863565436087E-2</v>
      </c>
      <c r="C161" s="248">
        <f t="shared" ref="C161:D161" si="35">+C149</f>
        <v>5.2852370067070262E-2</v>
      </c>
      <c r="D161" s="248">
        <f t="shared" si="35"/>
        <v>7.680400815523649E-4</v>
      </c>
      <c r="E161" s="362" t="s">
        <v>231</v>
      </c>
    </row>
    <row r="162" spans="1:9" s="40" customFormat="1">
      <c r="A162" s="337" t="s">
        <v>285</v>
      </c>
      <c r="B162" s="338">
        <f>+B160/B161</f>
        <v>2.0970447284345051</v>
      </c>
      <c r="C162" s="338">
        <f t="shared" ref="C162:D162" si="36">+C160/C161</f>
        <v>-0.51164448669201523</v>
      </c>
      <c r="D162" s="338">
        <f t="shared" si="36"/>
        <v>-118.11152022267277</v>
      </c>
      <c r="E162" s="363">
        <f>+AVERAGE(B162:D162)</f>
        <v>-38.842039993643425</v>
      </c>
    </row>
    <row r="163" spans="1:9" s="40" customFormat="1"/>
    <row r="164" spans="1:9" s="40" customFormat="1"/>
    <row r="165" spans="1:9" s="40" customFormat="1">
      <c r="A165" s="357" t="s">
        <v>286</v>
      </c>
      <c r="B165" s="336">
        <v>2017</v>
      </c>
      <c r="C165" s="336">
        <v>2018</v>
      </c>
      <c r="D165" s="336">
        <v>2019</v>
      </c>
    </row>
    <row r="166" spans="1:9" s="40" customFormat="1">
      <c r="A166" s="51" t="s">
        <v>287</v>
      </c>
      <c r="B166" s="364">
        <f>+H90</f>
        <v>9780000</v>
      </c>
      <c r="C166" s="364">
        <f>+I90</f>
        <v>-46543000</v>
      </c>
      <c r="D166" s="364">
        <f>+J90</f>
        <v>-149915508</v>
      </c>
      <c r="E166" s="42"/>
    </row>
    <row r="167" spans="1:9" s="40" customFormat="1">
      <c r="A167" s="300" t="s">
        <v>288</v>
      </c>
      <c r="B167" s="364">
        <f>+H97</f>
        <v>3320000</v>
      </c>
      <c r="C167" s="364">
        <f>+I97</f>
        <v>221000</v>
      </c>
      <c r="D167" s="364">
        <f>+J97</f>
        <v>287000</v>
      </c>
      <c r="E167" s="42"/>
    </row>
    <row r="168" spans="1:9" s="40" customFormat="1">
      <c r="A168" s="51" t="s">
        <v>289</v>
      </c>
      <c r="B168" s="364">
        <f>+B166-B167</f>
        <v>6460000</v>
      </c>
      <c r="C168" s="364">
        <f t="shared" ref="C168:D168" si="37">+C166-C167</f>
        <v>-46764000</v>
      </c>
      <c r="D168" s="364">
        <f t="shared" si="37"/>
        <v>-150202508</v>
      </c>
      <c r="E168" s="42"/>
    </row>
    <row r="169" spans="1:9" s="40" customFormat="1">
      <c r="A169" s="300" t="s">
        <v>290</v>
      </c>
      <c r="B169" s="364">
        <f t="shared" ref="B169:D170" si="38">+H103</f>
        <v>722000</v>
      </c>
      <c r="C169" s="364">
        <f t="shared" si="38"/>
        <v>12019000</v>
      </c>
      <c r="D169" s="364">
        <f t="shared" si="38"/>
        <v>10589174</v>
      </c>
      <c r="E169" s="42"/>
    </row>
    <row r="170" spans="1:9" s="40" customFormat="1">
      <c r="A170" s="300" t="s">
        <v>291</v>
      </c>
      <c r="B170" s="364">
        <f t="shared" si="38"/>
        <v>0</v>
      </c>
      <c r="C170" s="364">
        <f t="shared" si="38"/>
        <v>76000</v>
      </c>
      <c r="D170" s="364">
        <f t="shared" si="38"/>
        <v>1839800</v>
      </c>
      <c r="E170" s="42"/>
    </row>
    <row r="171" spans="1:9" s="40" customFormat="1">
      <c r="A171" s="51" t="s">
        <v>350</v>
      </c>
      <c r="B171" s="364">
        <f>+B168+B169+B170</f>
        <v>7182000</v>
      </c>
      <c r="C171" s="364">
        <f t="shared" ref="C171:D171" si="39">+C168+C169+C170</f>
        <v>-34669000</v>
      </c>
      <c r="D171" s="364">
        <f t="shared" si="39"/>
        <v>-137773534</v>
      </c>
      <c r="E171" s="42"/>
    </row>
    <row r="172" spans="1:9" s="40" customFormat="1">
      <c r="A172" s="300" t="s">
        <v>292</v>
      </c>
      <c r="B172" s="339"/>
      <c r="C172" s="364">
        <f>+C147-B147</f>
        <v>62320000</v>
      </c>
      <c r="D172" s="364">
        <f>+D147-C147</f>
        <v>-66163960</v>
      </c>
      <c r="E172" s="42"/>
    </row>
    <row r="173" spans="1:9" s="40" customFormat="1">
      <c r="A173" s="300" t="s">
        <v>293</v>
      </c>
      <c r="B173" s="340"/>
      <c r="C173" s="364">
        <f>+I49-H49</f>
        <v>-4825000</v>
      </c>
      <c r="D173" s="364">
        <f>+J49-I49</f>
        <v>-9795954</v>
      </c>
      <c r="E173" s="42"/>
    </row>
    <row r="174" spans="1:9" s="40" customFormat="1">
      <c r="A174" s="337" t="s">
        <v>294</v>
      </c>
      <c r="B174" s="361">
        <f>+B171-B172-B173</f>
        <v>7182000</v>
      </c>
      <c r="C174" s="361">
        <f t="shared" ref="C174" si="40">+C171-C172-C173</f>
        <v>-92164000</v>
      </c>
      <c r="D174" s="361">
        <f>+D171-D172-D173</f>
        <v>-61813620</v>
      </c>
      <c r="E174" s="42"/>
    </row>
    <row r="175" spans="1:9" s="40" customFormat="1"/>
    <row r="176" spans="1:9" s="40" customFormat="1">
      <c r="I176" s="40" t="s">
        <v>233</v>
      </c>
    </row>
    <row r="177" spans="1:5" s="40" customFormat="1">
      <c r="A177" s="569" t="s">
        <v>295</v>
      </c>
      <c r="B177" s="569"/>
    </row>
    <row r="178" spans="1:5" s="40" customFormat="1">
      <c r="A178" s="140"/>
      <c r="E178" s="42"/>
    </row>
    <row r="179" spans="1:5" s="40" customFormat="1">
      <c r="A179" s="351" t="s">
        <v>296</v>
      </c>
      <c r="B179" s="336">
        <v>2017</v>
      </c>
      <c r="C179" s="336">
        <v>2018</v>
      </c>
      <c r="D179" s="336">
        <v>2019</v>
      </c>
      <c r="E179" s="42"/>
    </row>
    <row r="180" spans="1:5" s="40" customFormat="1">
      <c r="A180" s="51" t="s">
        <v>130</v>
      </c>
      <c r="B180" s="365">
        <f>+H54</f>
        <v>169412000</v>
      </c>
      <c r="C180" s="365">
        <f>+I54</f>
        <v>266738000</v>
      </c>
      <c r="D180" s="365">
        <f>+J54</f>
        <v>276941073</v>
      </c>
      <c r="E180" s="42"/>
    </row>
    <row r="181" spans="1:5" s="40" customFormat="1">
      <c r="A181" s="51" t="s">
        <v>268</v>
      </c>
      <c r="B181" s="366">
        <f>+H98</f>
        <v>6199000</v>
      </c>
      <c r="C181" s="366">
        <f t="shared" ref="C181:D181" si="41">+I98</f>
        <v>-55318000</v>
      </c>
      <c r="D181" s="366">
        <f t="shared" si="41"/>
        <v>-172418985</v>
      </c>
      <c r="E181" s="362" t="s">
        <v>231</v>
      </c>
    </row>
    <row r="182" spans="1:5" s="40" customFormat="1">
      <c r="A182" s="337" t="s">
        <v>296</v>
      </c>
      <c r="B182" s="367">
        <f>+B181/B180</f>
        <v>3.659126862323802E-2</v>
      </c>
      <c r="C182" s="367">
        <f t="shared" ref="C182:D182" si="42">+C181/C180</f>
        <v>-0.20738702397108774</v>
      </c>
      <c r="D182" s="367">
        <f t="shared" si="42"/>
        <v>-0.62258365338246524</v>
      </c>
      <c r="E182" s="368">
        <f>+AVERAGE(B182:D182)</f>
        <v>-0.26445980291010501</v>
      </c>
    </row>
    <row r="183" spans="1:5" s="40" customFormat="1"/>
    <row r="184" spans="1:5" s="40" customFormat="1">
      <c r="B184" s="42" t="s">
        <v>297</v>
      </c>
      <c r="C184" s="299">
        <f>+MAX(B182:D182)</f>
        <v>3.659126862323802E-2</v>
      </c>
    </row>
    <row r="185" spans="1:5" s="40" customFormat="1">
      <c r="B185" s="42" t="s">
        <v>298</v>
      </c>
      <c r="C185" s="299">
        <f>+MIN(B182:D182)</f>
        <v>-0.62258365338246524</v>
      </c>
    </row>
    <row r="186" spans="1:5" s="40" customFormat="1"/>
    <row r="187" spans="1:5" s="40" customFormat="1">
      <c r="A187" s="336" t="s">
        <v>296</v>
      </c>
      <c r="B187" s="369">
        <f>+E182</f>
        <v>-0.26445980291010501</v>
      </c>
      <c r="C187" s="369">
        <f>+B187</f>
        <v>-0.26445980291010501</v>
      </c>
      <c r="D187" s="369">
        <f>+C187</f>
        <v>-0.26445980291010501</v>
      </c>
    </row>
    <row r="188" spans="1:5" s="40" customFormat="1">
      <c r="A188" s="336" t="s">
        <v>299</v>
      </c>
      <c r="B188" s="368">
        <f>+E216</f>
        <v>-0.62699714951724828</v>
      </c>
      <c r="C188" s="368">
        <f>+B188</f>
        <v>-0.62699714951724828</v>
      </c>
      <c r="D188" s="368">
        <f>+C188</f>
        <v>-0.62699714951724828</v>
      </c>
    </row>
    <row r="189" spans="1:5" s="40" customFormat="1">
      <c r="A189" s="336" t="s">
        <v>351</v>
      </c>
      <c r="B189" s="369">
        <f>+B187-B188</f>
        <v>0.36253734660714326</v>
      </c>
      <c r="C189" s="369">
        <f t="shared" ref="C189:D189" si="43">+C187-C188</f>
        <v>0.36253734660714326</v>
      </c>
      <c r="D189" s="369">
        <f t="shared" si="43"/>
        <v>0.36253734660714326</v>
      </c>
    </row>
    <row r="190" spans="1:5" s="40" customFormat="1"/>
    <row r="191" spans="1:5" s="40" customFormat="1"/>
    <row r="192" spans="1:5" s="40" customFormat="1">
      <c r="A192" s="140"/>
    </row>
    <row r="193" spans="1:5" s="40" customFormat="1">
      <c r="A193" s="140"/>
    </row>
    <row r="194" spans="1:5" s="40" customFormat="1">
      <c r="A194" s="351" t="s">
        <v>300</v>
      </c>
      <c r="B194" s="336">
        <v>2017</v>
      </c>
      <c r="C194" s="336">
        <v>2018</v>
      </c>
      <c r="D194" s="336">
        <v>2019</v>
      </c>
      <c r="E194" s="42"/>
    </row>
    <row r="195" spans="1:5" s="40" customFormat="1">
      <c r="A195" s="51" t="s">
        <v>272</v>
      </c>
      <c r="B195" s="366">
        <f>+H90</f>
        <v>9780000</v>
      </c>
      <c r="C195" s="366">
        <f>+I90</f>
        <v>-46543000</v>
      </c>
      <c r="D195" s="366">
        <f>+J90</f>
        <v>-149915508</v>
      </c>
      <c r="E195" s="42"/>
    </row>
    <row r="196" spans="1:5" s="40" customFormat="1">
      <c r="A196" s="51" t="s">
        <v>301</v>
      </c>
      <c r="B196" s="368">
        <f>+H97/H96</f>
        <v>0.34877613194663304</v>
      </c>
      <c r="C196" s="368">
        <f>+I97/I96</f>
        <v>-4.0111076828139467E-3</v>
      </c>
      <c r="D196" s="368">
        <f>+J97/J96</f>
        <v>-1.6673252213991491E-3</v>
      </c>
      <c r="E196" s="362" t="s">
        <v>231</v>
      </c>
    </row>
    <row r="197" spans="1:5" s="40" customFormat="1">
      <c r="A197" s="337" t="s">
        <v>289</v>
      </c>
      <c r="B197" s="446">
        <f>+B195*(1-B196)</f>
        <v>6368969.4295619288</v>
      </c>
      <c r="C197" s="388">
        <f t="shared" ref="C197:D197" si="44">+C195*(1-C196)</f>
        <v>-46729688.984881215</v>
      </c>
      <c r="D197" s="388">
        <f t="shared" si="44"/>
        <v>-150165465.90756729</v>
      </c>
      <c r="E197" s="366">
        <f>+AVERAGE(B197:D197)</f>
        <v>-63508728.487628855</v>
      </c>
    </row>
    <row r="198" spans="1:5" s="40" customFormat="1"/>
    <row r="199" spans="1:5" s="40" customFormat="1">
      <c r="A199" s="140"/>
    </row>
    <row r="200" spans="1:5" s="40" customFormat="1">
      <c r="A200" s="351" t="s">
        <v>302</v>
      </c>
      <c r="B200" s="336">
        <v>2017</v>
      </c>
      <c r="C200" s="336">
        <v>2018</v>
      </c>
      <c r="D200" s="336">
        <v>2019</v>
      </c>
      <c r="E200" s="42"/>
    </row>
    <row r="201" spans="1:5" s="40" customFormat="1">
      <c r="A201" s="51" t="s">
        <v>272</v>
      </c>
      <c r="B201" s="366">
        <f>+H90</f>
        <v>9780000</v>
      </c>
      <c r="C201" s="366">
        <f>+I90</f>
        <v>-46543000</v>
      </c>
      <c r="D201" s="366">
        <f>+J90</f>
        <v>-149915508</v>
      </c>
      <c r="E201" s="42"/>
    </row>
    <row r="202" spans="1:5" s="40" customFormat="1">
      <c r="A202" s="51" t="s">
        <v>303</v>
      </c>
      <c r="B202" s="369">
        <v>0.33</v>
      </c>
      <c r="C202" s="368">
        <v>0</v>
      </c>
      <c r="D202" s="368">
        <v>0</v>
      </c>
      <c r="E202" s="362" t="s">
        <v>231</v>
      </c>
    </row>
    <row r="203" spans="1:5" s="40" customFormat="1">
      <c r="A203" s="337" t="s">
        <v>289</v>
      </c>
      <c r="B203" s="388">
        <f>+B201*(1-B202)</f>
        <v>6552599.9999999991</v>
      </c>
      <c r="C203" s="388">
        <f t="shared" ref="C203:D203" si="45">+C201*(1-C202)</f>
        <v>-46543000</v>
      </c>
      <c r="D203" s="388">
        <f t="shared" si="45"/>
        <v>-149915508</v>
      </c>
      <c r="E203" s="366">
        <f>+AVERAGE(B203:D203)</f>
        <v>-63301969.333333336</v>
      </c>
    </row>
    <row r="204" spans="1:5" s="40" customFormat="1"/>
    <row r="205" spans="1:5" s="40" customFormat="1">
      <c r="A205" s="140"/>
    </row>
    <row r="206" spans="1:5" s="40" customFormat="1">
      <c r="A206" s="351" t="s">
        <v>304</v>
      </c>
      <c r="B206" s="336">
        <v>2017</v>
      </c>
      <c r="C206" s="336">
        <v>2018</v>
      </c>
      <c r="D206" s="336">
        <v>2019</v>
      </c>
    </row>
    <row r="207" spans="1:5" s="40" customFormat="1">
      <c r="A207" s="51" t="s">
        <v>305</v>
      </c>
      <c r="B207" s="365">
        <f>+H45</f>
        <v>144134000</v>
      </c>
      <c r="C207" s="365">
        <f>+I45</f>
        <v>246285000</v>
      </c>
      <c r="D207" s="365">
        <f>+J45</f>
        <v>266284027</v>
      </c>
    </row>
    <row r="208" spans="1:5" s="40" customFormat="1">
      <c r="A208" s="51" t="s">
        <v>306</v>
      </c>
      <c r="B208" s="305">
        <f>+H49</f>
        <v>25278000</v>
      </c>
      <c r="C208" s="305">
        <f>+I49</f>
        <v>20453000</v>
      </c>
      <c r="D208" s="305">
        <f>+J49</f>
        <v>10657046</v>
      </c>
    </row>
    <row r="209" spans="1:5" s="40" customFormat="1">
      <c r="A209" s="51" t="s">
        <v>307</v>
      </c>
      <c r="B209" s="305">
        <f>+H58</f>
        <v>136248000</v>
      </c>
      <c r="C209" s="305">
        <f>+I58</f>
        <v>167772000</v>
      </c>
      <c r="D209" s="305">
        <f>+J58</f>
        <v>183137894</v>
      </c>
    </row>
    <row r="210" spans="1:5" s="40" customFormat="1">
      <c r="A210" s="337" t="s">
        <v>308</v>
      </c>
      <c r="B210" s="389">
        <f>+B207+B208-B209</f>
        <v>33164000</v>
      </c>
      <c r="C210" s="389">
        <f t="shared" ref="C210:D210" si="46">+C207+C208-C209</f>
        <v>98966000</v>
      </c>
      <c r="D210" s="389">
        <f t="shared" si="46"/>
        <v>93803179</v>
      </c>
    </row>
    <row r="211" spans="1:5" s="40" customFormat="1"/>
    <row r="212" spans="1:5" s="40" customFormat="1"/>
    <row r="213" spans="1:5" s="40" customFormat="1">
      <c r="A213" s="336" t="s">
        <v>299</v>
      </c>
      <c r="B213" s="336">
        <v>2017</v>
      </c>
      <c r="C213" s="336">
        <v>2018</v>
      </c>
      <c r="D213" s="336">
        <v>2019</v>
      </c>
      <c r="E213" s="42"/>
    </row>
    <row r="214" spans="1:5" s="40" customFormat="1">
      <c r="A214" s="51" t="s">
        <v>289</v>
      </c>
      <c r="B214" s="366">
        <f>+B197</f>
        <v>6368969.4295619288</v>
      </c>
      <c r="C214" s="366">
        <f t="shared" ref="C214:D214" si="47">+C197</f>
        <v>-46729688.984881215</v>
      </c>
      <c r="D214" s="366">
        <f t="shared" si="47"/>
        <v>-150165465.90756729</v>
      </c>
      <c r="E214" s="42"/>
    </row>
    <row r="215" spans="1:5" s="40" customFormat="1">
      <c r="A215" s="51" t="s">
        <v>308</v>
      </c>
      <c r="B215" s="305">
        <f>+B210</f>
        <v>33164000</v>
      </c>
      <c r="C215" s="305">
        <f t="shared" ref="C215:D215" si="48">+C210</f>
        <v>98966000</v>
      </c>
      <c r="D215" s="305">
        <f t="shared" si="48"/>
        <v>93803179</v>
      </c>
      <c r="E215" s="362" t="s">
        <v>231</v>
      </c>
    </row>
    <row r="216" spans="1:5" s="40" customFormat="1">
      <c r="A216" s="337" t="s">
        <v>299</v>
      </c>
      <c r="B216" s="367">
        <f>+B214/B215</f>
        <v>0.19204466980949009</v>
      </c>
      <c r="C216" s="367">
        <f t="shared" ref="C216:D216" si="49">+C214/C215</f>
        <v>-0.47217922301478504</v>
      </c>
      <c r="D216" s="367">
        <f t="shared" si="49"/>
        <v>-1.6008568953464497</v>
      </c>
      <c r="E216" s="370">
        <f>+AVERAGE(B216:D216)</f>
        <v>-0.62699714951724828</v>
      </c>
    </row>
    <row r="217" spans="1:5" s="40" customFormat="1"/>
    <row r="218" spans="1:5" s="40" customFormat="1"/>
    <row r="219" spans="1:5" s="40" customFormat="1"/>
    <row r="220" spans="1:5" s="40" customFormat="1"/>
    <row r="221" spans="1:5" s="40" customFormat="1" ht="15" thickBot="1"/>
    <row r="222" spans="1:5" s="40" customFormat="1" ht="15" thickBot="1">
      <c r="A222" s="566" t="s">
        <v>309</v>
      </c>
      <c r="B222" s="567"/>
      <c r="C222" s="567"/>
      <c r="D222" s="568"/>
    </row>
    <row r="223" spans="1:5" s="40" customFormat="1" ht="15" thickBot="1">
      <c r="A223" s="447" t="s">
        <v>310</v>
      </c>
      <c r="B223" s="448">
        <v>2017</v>
      </c>
      <c r="C223" s="448">
        <v>2018</v>
      </c>
      <c r="D223" s="448">
        <v>2019</v>
      </c>
    </row>
    <row r="224" spans="1:5" s="40" customFormat="1">
      <c r="A224" s="371" t="s">
        <v>311</v>
      </c>
      <c r="B224" s="372"/>
      <c r="C224" s="372"/>
      <c r="D224" s="372"/>
    </row>
    <row r="225" spans="1:10" s="40" customFormat="1">
      <c r="A225" s="373" t="s">
        <v>312</v>
      </c>
      <c r="B225" s="374">
        <f>+H87/H85</f>
        <v>0.31621170120977365</v>
      </c>
      <c r="C225" s="374">
        <f>+I87/I85</f>
        <v>0.43494797030822174</v>
      </c>
      <c r="D225" s="374">
        <f>+J87/J85</f>
        <v>0.33458207916527416</v>
      </c>
      <c r="E225" s="42"/>
      <c r="F225" s="42"/>
      <c r="G225" s="42"/>
      <c r="H225" s="42"/>
    </row>
    <row r="226" spans="1:10" s="40" customFormat="1">
      <c r="A226" s="373" t="s">
        <v>314</v>
      </c>
      <c r="B226" s="374">
        <f>+H90/H85</f>
        <v>4.4884621739210248E-2</v>
      </c>
      <c r="C226" s="374">
        <f>+I90/I85</f>
        <v>-3.6536179004747669E-2</v>
      </c>
      <c r="D226" s="374">
        <f>+J90/J85</f>
        <v>-9.8915087961138987E-2</v>
      </c>
      <c r="E226" s="42"/>
      <c r="F226" s="42"/>
      <c r="G226" s="42"/>
      <c r="H226" s="42"/>
    </row>
    <row r="227" spans="1:10" s="40" customFormat="1">
      <c r="A227" s="373" t="s">
        <v>316</v>
      </c>
      <c r="B227" s="374">
        <f>+H98/H85</f>
        <v>2.8449874249628256E-2</v>
      </c>
      <c r="C227" s="374">
        <f>+I98/I85</f>
        <v>-4.3424539676957474E-2</v>
      </c>
      <c r="D227" s="374">
        <f>+J98/J85</f>
        <v>-0.11376300754319095</v>
      </c>
      <c r="E227" s="42"/>
      <c r="F227" s="42"/>
      <c r="G227" s="42"/>
      <c r="H227" s="42"/>
    </row>
    <row r="228" spans="1:10" s="40" customFormat="1" ht="15" thickBot="1">
      <c r="A228" s="375" t="s">
        <v>318</v>
      </c>
      <c r="B228" s="376">
        <f>+H98/H76</f>
        <v>0.28833899251127959</v>
      </c>
      <c r="C228" s="376">
        <f>+I98/I76</f>
        <v>-0.92175159129536444</v>
      </c>
      <c r="D228" s="376">
        <f>+J98/J76</f>
        <v>1.5644667725608152</v>
      </c>
      <c r="E228" s="42"/>
      <c r="F228" s="42"/>
      <c r="G228" s="42"/>
      <c r="H228" s="42"/>
    </row>
    <row r="229" spans="1:10" s="40" customFormat="1">
      <c r="B229" s="377"/>
      <c r="C229" s="377"/>
      <c r="D229" s="377"/>
    </row>
    <row r="230" spans="1:10" s="40" customFormat="1" ht="15" thickBot="1">
      <c r="B230" s="377"/>
      <c r="C230" s="377"/>
      <c r="D230" s="377"/>
    </row>
    <row r="231" spans="1:10" s="40" customFormat="1" ht="15" thickBot="1">
      <c r="A231" s="570" t="s">
        <v>309</v>
      </c>
      <c r="B231" s="571"/>
      <c r="C231" s="571"/>
      <c r="D231" s="572"/>
    </row>
    <row r="232" spans="1:10" s="40" customFormat="1" ht="15" thickBot="1">
      <c r="A232" s="449" t="s">
        <v>320</v>
      </c>
      <c r="B232" s="450">
        <f>B223</f>
        <v>2017</v>
      </c>
      <c r="C232" s="450">
        <f>C223</f>
        <v>2018</v>
      </c>
      <c r="D232" s="450">
        <f>D223</f>
        <v>2019</v>
      </c>
      <c r="E232" s="42"/>
      <c r="F232" s="42"/>
      <c r="G232" s="42"/>
      <c r="H232" s="42"/>
      <c r="I232" s="42"/>
    </row>
    <row r="233" spans="1:10" s="40" customFormat="1">
      <c r="A233" s="373" t="s">
        <v>321</v>
      </c>
      <c r="B233" s="378">
        <f>+H45-H62</f>
        <v>1221000</v>
      </c>
      <c r="C233" s="378">
        <f>+I45-I62</f>
        <v>59561000</v>
      </c>
      <c r="D233" s="378">
        <f>+J45-J62</f>
        <v>14133528</v>
      </c>
      <c r="E233" s="42"/>
      <c r="F233" s="42"/>
      <c r="G233" s="42"/>
      <c r="H233" s="42"/>
      <c r="I233" s="42"/>
    </row>
    <row r="234" spans="1:10" s="40" customFormat="1">
      <c r="A234" s="373" t="s">
        <v>323</v>
      </c>
      <c r="B234" s="379">
        <f>+H45/H62</f>
        <v>1.0085436594291632</v>
      </c>
      <c r="C234" s="379">
        <f>+I45/I62</f>
        <v>1.3189788136500933</v>
      </c>
      <c r="D234" s="379">
        <f>+J45/J62</f>
        <v>1.0560519533217343</v>
      </c>
      <c r="E234" s="42"/>
      <c r="F234" s="42"/>
      <c r="G234" s="42"/>
      <c r="H234" s="42"/>
      <c r="I234" s="42"/>
    </row>
    <row r="235" spans="1:10" s="40" customFormat="1" ht="15" thickBot="1">
      <c r="A235" s="375" t="s">
        <v>325</v>
      </c>
      <c r="B235" s="380">
        <f>+(H45-H43)/H62</f>
        <v>0.965524479928348</v>
      </c>
      <c r="C235" s="380">
        <f>+(I45-I43)/I62</f>
        <v>1.0199599408753026</v>
      </c>
      <c r="D235" s="380">
        <f>+(J45-J43)/J62</f>
        <v>0.81563125123936397</v>
      </c>
      <c r="E235" s="42"/>
      <c r="F235" s="42"/>
      <c r="G235" s="42"/>
      <c r="H235" s="42"/>
      <c r="I235" s="42"/>
    </row>
    <row r="236" spans="1:10" s="40" customFormat="1">
      <c r="B236" s="381"/>
      <c r="C236" s="381"/>
      <c r="D236" s="381"/>
      <c r="E236" s="42"/>
      <c r="F236" s="42"/>
      <c r="G236" s="42"/>
      <c r="H236" s="42"/>
      <c r="I236" s="42"/>
    </row>
    <row r="237" spans="1:10" s="40" customFormat="1" ht="15" thickBot="1">
      <c r="B237" s="381"/>
      <c r="C237" s="381"/>
      <c r="D237" s="381"/>
    </row>
    <row r="238" spans="1:10" s="40" customFormat="1" ht="15" thickBot="1">
      <c r="A238" s="570" t="s">
        <v>309</v>
      </c>
      <c r="B238" s="571"/>
      <c r="C238" s="571"/>
      <c r="D238" s="572"/>
      <c r="E238" s="42"/>
      <c r="F238" s="42"/>
      <c r="G238" s="42"/>
      <c r="H238" s="42"/>
      <c r="I238" s="42"/>
      <c r="J238" s="42"/>
    </row>
    <row r="239" spans="1:10" s="40" customFormat="1" ht="15" thickBot="1">
      <c r="A239" s="449" t="s">
        <v>328</v>
      </c>
      <c r="B239" s="450">
        <f>B232</f>
        <v>2017</v>
      </c>
      <c r="C239" s="450">
        <f>C232</f>
        <v>2018</v>
      </c>
      <c r="D239" s="450">
        <f>D232</f>
        <v>2019</v>
      </c>
      <c r="E239" s="42"/>
      <c r="F239" s="42"/>
      <c r="G239" s="42"/>
      <c r="H239" s="42"/>
      <c r="I239" s="42"/>
      <c r="J239" s="42"/>
    </row>
    <row r="240" spans="1:10" s="40" customFormat="1">
      <c r="A240" s="372" t="s">
        <v>329</v>
      </c>
      <c r="B240" s="382">
        <f>+H69/H54</f>
        <v>0.87309635681061559</v>
      </c>
      <c r="C240" s="382">
        <f>+I69/I54</f>
        <v>0.77500768544414367</v>
      </c>
      <c r="D240" s="382">
        <f>+J69/J54</f>
        <v>1.3979526214950428</v>
      </c>
      <c r="E240" s="42"/>
      <c r="F240" s="42"/>
      <c r="G240" s="42"/>
      <c r="H240" s="42"/>
      <c r="I240" s="42"/>
      <c r="J240" s="42"/>
    </row>
    <row r="241" spans="1:10" s="40" customFormat="1">
      <c r="A241" s="373" t="s">
        <v>331</v>
      </c>
      <c r="B241" s="374">
        <f>+H62/H69</f>
        <v>0.96619634514883745</v>
      </c>
      <c r="C241" s="374">
        <f>+I62/I69</f>
        <v>0.90325264604013078</v>
      </c>
      <c r="D241" s="374">
        <f>+J62/J69</f>
        <v>0.65129839597597938</v>
      </c>
      <c r="E241" s="42"/>
      <c r="F241" s="42"/>
      <c r="G241" s="42"/>
      <c r="H241" s="42"/>
      <c r="I241" s="42"/>
      <c r="J241" s="42"/>
    </row>
    <row r="242" spans="1:10" s="40" customFormat="1" ht="15" thickBot="1">
      <c r="A242" s="375" t="s">
        <v>333</v>
      </c>
      <c r="B242" s="376">
        <f>+H67/H69</f>
        <v>3.3803654851162511E-2</v>
      </c>
      <c r="C242" s="376">
        <f>+I67/I69</f>
        <v>9.6747353959869192E-2</v>
      </c>
      <c r="D242" s="376">
        <f>+J67/J69</f>
        <v>0.34870160402402062</v>
      </c>
      <c r="E242" s="42"/>
      <c r="F242" s="42"/>
      <c r="G242" s="42"/>
      <c r="H242" s="42"/>
      <c r="I242" s="42"/>
      <c r="J242" s="42"/>
    </row>
    <row r="243" spans="1:10" s="40" customFormat="1" ht="15" thickBot="1">
      <c r="E243" s="42"/>
      <c r="F243" s="42"/>
      <c r="G243" s="42"/>
      <c r="H243" s="42"/>
      <c r="I243" s="42"/>
      <c r="J243" s="42"/>
    </row>
    <row r="244" spans="1:10" s="40" customFormat="1" ht="15" thickBot="1">
      <c r="A244" s="566" t="s">
        <v>335</v>
      </c>
      <c r="B244" s="567"/>
      <c r="C244" s="567"/>
      <c r="D244" s="568"/>
      <c r="E244" s="383"/>
      <c r="F244" s="42"/>
      <c r="G244" s="42"/>
      <c r="H244" s="42"/>
      <c r="I244" s="42"/>
      <c r="J244" s="42"/>
    </row>
    <row r="245" spans="1:10" s="40" customFormat="1" ht="15" thickBot="1">
      <c r="A245" s="451" t="s">
        <v>336</v>
      </c>
      <c r="B245" s="450">
        <f>B239</f>
        <v>2017</v>
      </c>
      <c r="C245" s="450">
        <f>C239</f>
        <v>2018</v>
      </c>
      <c r="D245" s="450">
        <f>D239</f>
        <v>2019</v>
      </c>
      <c r="E245" s="42"/>
      <c r="F245" s="42"/>
      <c r="G245" s="42"/>
      <c r="H245" s="42"/>
      <c r="I245" s="42"/>
      <c r="J245" s="42"/>
    </row>
    <row r="246" spans="1:10" s="40" customFormat="1">
      <c r="A246" s="384" t="s">
        <v>337</v>
      </c>
      <c r="B246" s="385">
        <f>+H85/H76</f>
        <v>10.134983022466161</v>
      </c>
      <c r="C246" s="385">
        <f t="shared" ref="C246:D246" si="50">+I85/I76</f>
        <v>21.226513813443528</v>
      </c>
      <c r="D246" s="385">
        <f t="shared" si="50"/>
        <v>-13.751981477518992</v>
      </c>
      <c r="E246" s="42"/>
      <c r="F246" s="42"/>
      <c r="G246" s="42"/>
      <c r="H246" s="42"/>
      <c r="I246" s="42"/>
      <c r="J246" s="42"/>
    </row>
    <row r="247" spans="1:10" s="40" customFormat="1">
      <c r="A247" s="344" t="s">
        <v>339</v>
      </c>
      <c r="B247" s="386">
        <f>+H85/H49</f>
        <v>8.6198275179998411</v>
      </c>
      <c r="C247" s="386">
        <f t="shared" ref="C247:D247" si="51">+I85/I49</f>
        <v>62.283674766537914</v>
      </c>
      <c r="D247" s="386">
        <f t="shared" si="51"/>
        <v>142.21558065903065</v>
      </c>
      <c r="E247" s="42"/>
      <c r="F247" s="42"/>
      <c r="G247" s="42"/>
      <c r="H247" s="42"/>
      <c r="I247" s="42"/>
      <c r="J247" s="42"/>
    </row>
    <row r="248" spans="1:10" s="40" customFormat="1">
      <c r="A248" s="344" t="s">
        <v>341</v>
      </c>
      <c r="B248" s="386">
        <f>+H85/H42</f>
        <v>1.6127246351067295</v>
      </c>
      <c r="C248" s="386">
        <f>+I85/I42</f>
        <v>7.1061327859159018</v>
      </c>
      <c r="D248" s="386">
        <f>+J85/J42</f>
        <v>12.254214461683755</v>
      </c>
      <c r="E248" s="42"/>
      <c r="F248" s="42"/>
      <c r="G248" s="42"/>
      <c r="H248" s="42"/>
      <c r="I248" s="42"/>
      <c r="J248" s="42"/>
    </row>
    <row r="249" spans="1:10" s="40" customFormat="1">
      <c r="A249" s="344" t="s">
        <v>343</v>
      </c>
      <c r="B249" s="386">
        <f t="shared" ref="B249:D250" si="52">+(H42/H85)*365</f>
        <v>226.32506012152808</v>
      </c>
      <c r="C249" s="386">
        <f t="shared" si="52"/>
        <v>51.364083812705672</v>
      </c>
      <c r="D249" s="386">
        <f t="shared" si="52"/>
        <v>29.78567097395554</v>
      </c>
      <c r="E249" s="42"/>
      <c r="F249" s="42"/>
      <c r="G249" s="42"/>
      <c r="H249" s="42"/>
      <c r="I249" s="42"/>
      <c r="J249" s="42"/>
    </row>
    <row r="250" spans="1:10" s="40" customFormat="1">
      <c r="A250" s="344" t="s">
        <v>352</v>
      </c>
      <c r="B250" s="386">
        <f t="shared" si="52"/>
        <v>15.061345575601374</v>
      </c>
      <c r="C250" s="386">
        <f t="shared" si="52"/>
        <v>28.312089389883202</v>
      </c>
      <c r="D250" s="386">
        <f t="shared" si="52"/>
        <v>21.940475994760014</v>
      </c>
      <c r="E250" s="42"/>
      <c r="F250" s="42"/>
      <c r="G250" s="42"/>
      <c r="H250" s="42"/>
      <c r="I250" s="42"/>
      <c r="J250" s="42"/>
    </row>
    <row r="251" spans="1:10" s="40" customFormat="1">
      <c r="A251" s="344" t="s">
        <v>346</v>
      </c>
      <c r="B251" s="386">
        <f>+B249+B250</f>
        <v>241.38640569712945</v>
      </c>
      <c r="C251" s="386">
        <f t="shared" ref="C251:D251" si="53">+C249+C250</f>
        <v>79.67617320258887</v>
      </c>
      <c r="D251" s="386">
        <f t="shared" si="53"/>
        <v>51.726146968715554</v>
      </c>
      <c r="E251" s="42"/>
      <c r="F251" s="42"/>
      <c r="G251" s="42"/>
      <c r="H251" s="42"/>
      <c r="I251" s="42"/>
      <c r="J251" s="42"/>
    </row>
    <row r="252" spans="1:10" s="40" customFormat="1" ht="15" thickBot="1">
      <c r="A252" s="347" t="s">
        <v>348</v>
      </c>
      <c r="B252" s="387">
        <f>+(H58/H86)*365</f>
        <v>333.77980025773195</v>
      </c>
      <c r="C252" s="387">
        <f>+(I58/I86)*365</f>
        <v>85.073178728364169</v>
      </c>
      <c r="D252" s="387">
        <f>+(J58/J86)*365</f>
        <v>66.28153658293337</v>
      </c>
      <c r="E252" s="42"/>
      <c r="F252" s="42"/>
      <c r="G252" s="42"/>
      <c r="H252" s="42"/>
      <c r="I252" s="42"/>
      <c r="J252" s="42"/>
    </row>
    <row r="253" spans="1:10" s="40" customFormat="1">
      <c r="E253" s="42"/>
      <c r="F253" s="42"/>
      <c r="G253" s="42"/>
      <c r="H253" s="42"/>
      <c r="I253" s="42"/>
      <c r="J253" s="42"/>
    </row>
    <row r="254" spans="1:10" s="40" customFormat="1">
      <c r="E254" s="42"/>
      <c r="F254" s="42"/>
      <c r="G254" s="42"/>
      <c r="H254" s="42"/>
      <c r="I254" s="42"/>
      <c r="J254" s="42"/>
    </row>
    <row r="255" spans="1:10" s="40" customFormat="1">
      <c r="E255" s="42"/>
      <c r="F255" s="42"/>
      <c r="G255" s="42"/>
      <c r="H255" s="42"/>
      <c r="I255" s="42"/>
      <c r="J255" s="42"/>
    </row>
    <row r="256" spans="1:10" s="40" customFormat="1">
      <c r="A256" s="452" t="s">
        <v>353</v>
      </c>
      <c r="B256" s="452">
        <f t="shared" ref="B256:D256" si="54">B245</f>
        <v>2017</v>
      </c>
      <c r="C256" s="452">
        <f t="shared" si="54"/>
        <v>2018</v>
      </c>
      <c r="D256" s="452">
        <f t="shared" si="54"/>
        <v>2019</v>
      </c>
    </row>
    <row r="257" spans="1:5" s="40" customFormat="1">
      <c r="A257" s="51" t="s">
        <v>354</v>
      </c>
      <c r="B257" s="306">
        <f t="shared" ref="B257:D258" si="55">B249</f>
        <v>226.32506012152808</v>
      </c>
      <c r="C257" s="306">
        <f t="shared" si="55"/>
        <v>51.364083812705672</v>
      </c>
      <c r="D257" s="306">
        <f t="shared" si="55"/>
        <v>29.78567097395554</v>
      </c>
      <c r="E257" s="160"/>
    </row>
    <row r="258" spans="1:5" s="40" customFormat="1">
      <c r="A258" s="51" t="s">
        <v>276</v>
      </c>
      <c r="B258" s="306">
        <f t="shared" si="55"/>
        <v>15.061345575601374</v>
      </c>
      <c r="C258" s="306">
        <f t="shared" si="55"/>
        <v>28.312089389883202</v>
      </c>
      <c r="D258" s="306">
        <f t="shared" si="55"/>
        <v>21.940475994760014</v>
      </c>
      <c r="E258" s="160"/>
    </row>
    <row r="259" spans="1:5" s="40" customFormat="1">
      <c r="A259" s="51" t="s">
        <v>204</v>
      </c>
      <c r="B259" s="306">
        <f t="shared" ref="B259:D259" si="56">B252</f>
        <v>333.77980025773195</v>
      </c>
      <c r="C259" s="306">
        <f t="shared" si="56"/>
        <v>85.073178728364169</v>
      </c>
      <c r="D259" s="306">
        <f t="shared" si="56"/>
        <v>66.28153658293337</v>
      </c>
      <c r="E259" s="160"/>
    </row>
    <row r="260" spans="1:5" s="40" customFormat="1">
      <c r="A260" s="51" t="s">
        <v>346</v>
      </c>
      <c r="B260" s="284">
        <f>B257+B258-B259</f>
        <v>-92.393394560602502</v>
      </c>
      <c r="C260" s="284">
        <f t="shared" ref="C260:D260" si="57">C257+C258-C259</f>
        <v>-5.3970055257752989</v>
      </c>
      <c r="D260" s="284">
        <f t="shared" si="57"/>
        <v>-14.555389614217816</v>
      </c>
      <c r="E260" s="160"/>
    </row>
    <row r="261" spans="1:5" s="40" customFormat="1"/>
    <row r="262" spans="1:5" s="40" customFormat="1"/>
    <row r="263" spans="1:5" s="40" customFormat="1" ht="28.8">
      <c r="A263" s="453" t="s">
        <v>355</v>
      </c>
      <c r="B263" s="453" t="s">
        <v>368</v>
      </c>
      <c r="C263" s="453" t="s">
        <v>365</v>
      </c>
      <c r="D263" s="453" t="s">
        <v>151</v>
      </c>
      <c r="E263" s="453" t="s">
        <v>358</v>
      </c>
    </row>
    <row r="264" spans="1:5" s="40" customFormat="1">
      <c r="A264" s="51" t="s">
        <v>356</v>
      </c>
      <c r="B264" s="307">
        <v>0.40439999999999998</v>
      </c>
      <c r="C264" s="307">
        <f>D225</f>
        <v>0.33458207916527416</v>
      </c>
      <c r="D264" s="307">
        <f>C264-B264</f>
        <v>-6.9817920834725822E-2</v>
      </c>
      <c r="E264" s="308" t="str">
        <f t="shared" ref="E264:E277" si="58">IF(C264&lt;B264,"Menor que Industria","Mayor que Industria")</f>
        <v>Menor que Industria</v>
      </c>
    </row>
    <row r="265" spans="1:5" s="40" customFormat="1">
      <c r="A265" s="51" t="s">
        <v>357</v>
      </c>
      <c r="B265" s="307">
        <v>0.10970000000000001</v>
      </c>
      <c r="C265" s="307">
        <f>D226</f>
        <v>-9.8915087961138987E-2</v>
      </c>
      <c r="D265" s="307">
        <f t="shared" ref="D265:D277" si="59">C265-B265</f>
        <v>-0.20861508796113898</v>
      </c>
      <c r="E265" s="308" t="str">
        <f t="shared" si="58"/>
        <v>Menor que Industria</v>
      </c>
    </row>
    <row r="266" spans="1:5" s="40" customFormat="1">
      <c r="A266" s="51" t="s">
        <v>241</v>
      </c>
      <c r="B266" s="307">
        <v>5.4699999999999999E-2</v>
      </c>
      <c r="C266" s="307">
        <f>D227</f>
        <v>-0.11376300754319095</v>
      </c>
      <c r="D266" s="307">
        <f t="shared" si="59"/>
        <v>-0.16846300754319093</v>
      </c>
      <c r="E266" s="308" t="str">
        <f t="shared" si="58"/>
        <v>Menor que Industria</v>
      </c>
    </row>
    <row r="267" spans="1:5" s="40" customFormat="1">
      <c r="A267" s="51" t="s">
        <v>273</v>
      </c>
      <c r="B267" s="307">
        <v>0.1469</v>
      </c>
      <c r="C267" s="307">
        <f>D133</f>
        <v>-9.0714381624095383E-2</v>
      </c>
      <c r="D267" s="307">
        <f t="shared" si="59"/>
        <v>-0.23761438162409537</v>
      </c>
      <c r="E267" s="308" t="str">
        <f t="shared" si="58"/>
        <v>Menor que Industria</v>
      </c>
    </row>
    <row r="268" spans="1:5" s="40" customFormat="1" hidden="1">
      <c r="A268" s="51" t="s">
        <v>359</v>
      </c>
      <c r="B268" s="307">
        <v>6.3700000000000007E-2</v>
      </c>
      <c r="C268" s="307">
        <f>+'Valoración Sin Estrategia'!F72</f>
        <v>-28077263.681265593</v>
      </c>
      <c r="D268" s="307">
        <f t="shared" si="59"/>
        <v>-28077263.744965594</v>
      </c>
      <c r="E268" s="308" t="str">
        <f t="shared" si="58"/>
        <v>Menor que Industria</v>
      </c>
    </row>
    <row r="269" spans="1:5" s="40" customFormat="1" hidden="1">
      <c r="A269" s="51" t="s">
        <v>366</v>
      </c>
      <c r="B269" s="307">
        <v>0.16389999999999999</v>
      </c>
      <c r="C269" s="307">
        <f>+'Valoración Sin Estrategia'!F63</f>
        <v>7776724.666666667</v>
      </c>
      <c r="D269" s="307">
        <f t="shared" si="59"/>
        <v>7776724.5027666669</v>
      </c>
      <c r="E269" s="308" t="str">
        <f t="shared" si="58"/>
        <v>Mayor que Industria</v>
      </c>
    </row>
    <row r="270" spans="1:5" s="40" customFormat="1" hidden="1">
      <c r="A270" s="51" t="s">
        <v>367</v>
      </c>
      <c r="B270" s="307">
        <v>0.83609999999999995</v>
      </c>
      <c r="C270" s="307">
        <f>+'Valoración Sin Estrategia'!F64</f>
        <v>638600</v>
      </c>
      <c r="D270" s="307">
        <f t="shared" si="59"/>
        <v>638599.16390000004</v>
      </c>
      <c r="E270" s="308" t="str">
        <f t="shared" si="58"/>
        <v>Mayor que Industria</v>
      </c>
    </row>
    <row r="271" spans="1:5" s="40" customFormat="1" hidden="1">
      <c r="A271" s="51" t="s">
        <v>360</v>
      </c>
      <c r="B271" s="307">
        <v>3.5200000000000002E-2</v>
      </c>
      <c r="C271" s="307">
        <v>0.105</v>
      </c>
      <c r="D271" s="307">
        <f t="shared" si="59"/>
        <v>6.9800000000000001E-2</v>
      </c>
      <c r="E271" s="308" t="str">
        <f t="shared" si="58"/>
        <v>Mayor que Industria</v>
      </c>
    </row>
    <row r="272" spans="1:5" s="40" customFormat="1" hidden="1">
      <c r="A272" s="51" t="s">
        <v>361</v>
      </c>
      <c r="B272" s="307">
        <v>4.6300000000000001E-2</v>
      </c>
      <c r="C272" s="307">
        <f>+'Valoración Sin Estrategia'!F60</f>
        <v>0</v>
      </c>
      <c r="D272" s="307">
        <f t="shared" si="59"/>
        <v>-4.6300000000000001E-2</v>
      </c>
      <c r="E272" s="308" t="str">
        <f t="shared" si="58"/>
        <v>Menor que Industria</v>
      </c>
    </row>
    <row r="273" spans="1:5" s="40" customFormat="1" hidden="1">
      <c r="A273" s="51" t="s">
        <v>122</v>
      </c>
      <c r="B273" s="308">
        <v>2.0699999999999998</v>
      </c>
      <c r="C273" s="308">
        <f>+'Valoración Sin Estrategia'!F156</f>
        <v>638600</v>
      </c>
      <c r="D273" s="307">
        <f t="shared" si="59"/>
        <v>638597.93000000005</v>
      </c>
      <c r="E273" s="308" t="str">
        <f t="shared" si="58"/>
        <v>Mayor que Industria</v>
      </c>
    </row>
    <row r="274" spans="1:5" s="40" customFormat="1" hidden="1">
      <c r="A274" s="51" t="s">
        <v>318</v>
      </c>
      <c r="B274" s="307">
        <v>8.2000000000000003E-2</v>
      </c>
      <c r="C274" s="307">
        <f>+D228</f>
        <v>1.5644667725608152</v>
      </c>
      <c r="D274" s="307">
        <f t="shared" si="59"/>
        <v>1.4824667725608152</v>
      </c>
      <c r="E274" s="308" t="str">
        <f t="shared" si="58"/>
        <v>Mayor que Industria</v>
      </c>
    </row>
    <row r="275" spans="1:5" s="40" customFormat="1">
      <c r="A275" s="51" t="s">
        <v>362</v>
      </c>
      <c r="B275" s="307">
        <v>0.12759999999999999</v>
      </c>
      <c r="C275" s="285">
        <f>+(J42/J88)</f>
        <v>0.24942502799236277</v>
      </c>
      <c r="D275" s="307">
        <f t="shared" si="59"/>
        <v>0.12182502799236278</v>
      </c>
      <c r="E275" s="308" t="str">
        <f t="shared" si="58"/>
        <v>Mayor que Industria</v>
      </c>
    </row>
    <row r="276" spans="1:5" s="40" customFormat="1">
      <c r="A276" s="51" t="s">
        <v>363</v>
      </c>
      <c r="B276" s="307">
        <v>6.9500000000000006E-2</v>
      </c>
      <c r="C276" s="285">
        <f>(J43/J88)</f>
        <v>0.12225684388970802</v>
      </c>
      <c r="D276" s="307">
        <f t="shared" si="59"/>
        <v>5.2756843889708013E-2</v>
      </c>
      <c r="E276" s="308" t="str">
        <f t="shared" si="58"/>
        <v>Mayor que Industria</v>
      </c>
    </row>
    <row r="277" spans="1:5" s="40" customFormat="1">
      <c r="A277" s="51" t="s">
        <v>364</v>
      </c>
      <c r="B277" s="307">
        <v>0.27129999999999999</v>
      </c>
      <c r="C277" s="285">
        <f>(J58+J59)/J88</f>
        <v>0.4399090143619091</v>
      </c>
      <c r="D277" s="307">
        <f t="shared" si="59"/>
        <v>0.16860901436190912</v>
      </c>
      <c r="E277" s="308" t="str">
        <f t="shared" si="58"/>
        <v>Mayor que Industria</v>
      </c>
    </row>
  </sheetData>
  <mergeCells count="92">
    <mergeCell ref="A50:E50"/>
    <mergeCell ref="A45:E45"/>
    <mergeCell ref="A51:E51"/>
    <mergeCell ref="A62:E62"/>
    <mergeCell ref="K30:O30"/>
    <mergeCell ref="A30:E30"/>
    <mergeCell ref="A29:E29"/>
    <mergeCell ref="A28:E28"/>
    <mergeCell ref="E102:G102"/>
    <mergeCell ref="A44:E44"/>
    <mergeCell ref="A47:E47"/>
    <mergeCell ref="A48:E48"/>
    <mergeCell ref="A90:E90"/>
    <mergeCell ref="A74:E74"/>
    <mergeCell ref="A94:E94"/>
    <mergeCell ref="A95:E95"/>
    <mergeCell ref="A66:E66"/>
    <mergeCell ref="A67:E67"/>
    <mergeCell ref="A60:E60"/>
    <mergeCell ref="A49:E49"/>
    <mergeCell ref="Q79:R79"/>
    <mergeCell ref="A33:P34"/>
    <mergeCell ref="A35:P35"/>
    <mergeCell ref="A36:P36"/>
    <mergeCell ref="A37:P37"/>
    <mergeCell ref="A46:E46"/>
    <mergeCell ref="R58:AA58"/>
    <mergeCell ref="A42:E42"/>
    <mergeCell ref="A75:E75"/>
    <mergeCell ref="A76:E76"/>
    <mergeCell ref="A72:E72"/>
    <mergeCell ref="A73:E73"/>
    <mergeCell ref="A69:E69"/>
    <mergeCell ref="A71:E71"/>
    <mergeCell ref="A43:E43"/>
    <mergeCell ref="A52:E52"/>
    <mergeCell ref="A1:P5"/>
    <mergeCell ref="A9:P10"/>
    <mergeCell ref="A11:P11"/>
    <mergeCell ref="A12:P12"/>
    <mergeCell ref="A13:P13"/>
    <mergeCell ref="A14:P14"/>
    <mergeCell ref="A15:E15"/>
    <mergeCell ref="A24:E24"/>
    <mergeCell ref="K23:O23"/>
    <mergeCell ref="F23:J23"/>
    <mergeCell ref="K84:O84"/>
    <mergeCell ref="A98:E98"/>
    <mergeCell ref="A78:E78"/>
    <mergeCell ref="A80:E80"/>
    <mergeCell ref="A83:E83"/>
    <mergeCell ref="A84:E84"/>
    <mergeCell ref="A85:E85"/>
    <mergeCell ref="A91:E91"/>
    <mergeCell ref="A92:E92"/>
    <mergeCell ref="A93:E93"/>
    <mergeCell ref="A86:E86"/>
    <mergeCell ref="A87:E87"/>
    <mergeCell ref="A88:E88"/>
    <mergeCell ref="A96:E96"/>
    <mergeCell ref="R14:AB14"/>
    <mergeCell ref="Y23:AC23"/>
    <mergeCell ref="S23:W23"/>
    <mergeCell ref="A65:E65"/>
    <mergeCell ref="A56:E56"/>
    <mergeCell ref="A57:E57"/>
    <mergeCell ref="A58:E58"/>
    <mergeCell ref="A59:E59"/>
    <mergeCell ref="A17:P18"/>
    <mergeCell ref="A19:P19"/>
    <mergeCell ref="A20:P20"/>
    <mergeCell ref="A21:P21"/>
    <mergeCell ref="A22:P22"/>
    <mergeCell ref="A25:E25"/>
    <mergeCell ref="A63:E63"/>
    <mergeCell ref="A64:E64"/>
    <mergeCell ref="A26:E26"/>
    <mergeCell ref="A61:E61"/>
    <mergeCell ref="A244:D244"/>
    <mergeCell ref="A110:B110"/>
    <mergeCell ref="A177:B177"/>
    <mergeCell ref="A222:D222"/>
    <mergeCell ref="A231:D231"/>
    <mergeCell ref="A238:D238"/>
    <mergeCell ref="A97:E97"/>
    <mergeCell ref="A89:E89"/>
    <mergeCell ref="A38:G38"/>
    <mergeCell ref="A27:E27"/>
    <mergeCell ref="G30:J30"/>
    <mergeCell ref="A32:P32"/>
    <mergeCell ref="A54:G54"/>
    <mergeCell ref="A39:G39"/>
  </mergeCells>
  <dataValidations disablePrompts="1" count="1">
    <dataValidation type="list" allowBlank="1" showInputMessage="1" showErrorMessage="1" sqref="F30" xr:uid="{00000000-0002-0000-0100-000000000000}">
      <formula1>"1,2,3"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15</xdr:col>
                <xdr:colOff>175260</xdr:colOff>
                <xdr:row>70</xdr:row>
                <xdr:rowOff>60960</xdr:rowOff>
              </from>
              <to>
                <xdr:col>15</xdr:col>
                <xdr:colOff>198120</xdr:colOff>
                <xdr:row>70</xdr:row>
                <xdr:rowOff>68580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00B050"/>
  </sheetPr>
  <dimension ref="A1:Q197"/>
  <sheetViews>
    <sheetView zoomScale="80" zoomScaleNormal="80" workbookViewId="0">
      <selection sqref="A1:Q2"/>
    </sheetView>
  </sheetViews>
  <sheetFormatPr baseColWidth="10" defaultColWidth="11.44140625" defaultRowHeight="14.4"/>
  <cols>
    <col min="1" max="2" width="11.44140625" style="1"/>
    <col min="3" max="3" width="14.33203125" style="1" customWidth="1"/>
    <col min="4" max="4" width="15.5546875" style="1" customWidth="1"/>
    <col min="5" max="5" width="24.5546875" style="1" customWidth="1"/>
    <col min="6" max="6" width="17.33203125" style="1" customWidth="1"/>
    <col min="7" max="7" width="16.88671875" style="1" customWidth="1"/>
    <col min="8" max="8" width="17.5546875" style="1" customWidth="1"/>
    <col min="9" max="9" width="21" style="1" customWidth="1"/>
    <col min="10" max="10" width="18.44140625" style="1" customWidth="1"/>
    <col min="11" max="11" width="15.44140625" style="1" customWidth="1"/>
    <col min="12" max="12" width="11.44140625" style="1"/>
    <col min="13" max="13" width="12.5546875" style="1" bestFit="1" customWidth="1"/>
    <col min="14" max="14" width="12.44140625" style="1" bestFit="1" customWidth="1"/>
    <col min="15" max="15" width="11.44140625" style="1"/>
    <col min="16" max="16" width="14.77734375" style="1" bestFit="1" customWidth="1"/>
    <col min="17" max="16384" width="11.44140625" style="1"/>
  </cols>
  <sheetData>
    <row r="1" spans="1:17">
      <c r="A1" s="651" t="s">
        <v>42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  <c r="Q1" s="653"/>
    </row>
    <row r="2" spans="1:17" ht="15" thickBot="1">
      <c r="A2" s="654"/>
      <c r="B2" s="655"/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/>
      <c r="P2" s="655"/>
      <c r="Q2" s="656"/>
    </row>
    <row r="3" spans="1:17" ht="22.8">
      <c r="A3" s="585" t="s">
        <v>373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7"/>
    </row>
    <row r="4" spans="1:17">
      <c r="A4" s="542" t="s">
        <v>41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88"/>
    </row>
    <row r="5" spans="1:17">
      <c r="A5" s="542" t="s">
        <v>3</v>
      </c>
      <c r="B5" s="543"/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88"/>
    </row>
    <row r="6" spans="1:17" ht="15" thickBot="1">
      <c r="A6" s="599" t="s">
        <v>2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1"/>
    </row>
    <row r="7" spans="1:17" ht="22.2" thickBot="1">
      <c r="A7" s="679" t="s">
        <v>52</v>
      </c>
      <c r="B7" s="680"/>
      <c r="C7" s="680"/>
      <c r="D7" s="680"/>
      <c r="E7" s="680"/>
      <c r="F7" s="681"/>
      <c r="G7" s="40"/>
      <c r="H7" s="40"/>
      <c r="I7" s="40"/>
      <c r="J7" s="40"/>
      <c r="K7" s="40"/>
      <c r="L7" s="40"/>
      <c r="M7" s="40"/>
      <c r="N7" s="40"/>
      <c r="O7" s="40"/>
    </row>
    <row r="8" spans="1:17" ht="22.2" thickBot="1">
      <c r="A8" s="698" t="s">
        <v>43</v>
      </c>
      <c r="B8" s="699"/>
      <c r="C8" s="699"/>
      <c r="D8" s="699"/>
      <c r="E8" s="699"/>
      <c r="F8" s="700"/>
      <c r="G8" s="40"/>
      <c r="H8" s="40"/>
      <c r="I8" s="679" t="s">
        <v>90</v>
      </c>
      <c r="J8" s="680"/>
      <c r="K8" s="680"/>
      <c r="L8" s="680"/>
      <c r="M8" s="680"/>
      <c r="N8" s="681"/>
      <c r="O8" s="40"/>
    </row>
    <row r="9" spans="1:17" ht="43.8" thickBot="1">
      <c r="A9" s="694" t="s">
        <v>91</v>
      </c>
      <c r="B9" s="695"/>
      <c r="C9" s="695"/>
      <c r="D9" s="695"/>
      <c r="E9" s="696"/>
      <c r="F9" s="105">
        <f>'Analisis Financiero'!J24</f>
        <v>2019</v>
      </c>
      <c r="G9" s="40"/>
      <c r="H9" s="40"/>
      <c r="I9" s="194" t="s">
        <v>53</v>
      </c>
      <c r="J9" s="195" t="s">
        <v>57</v>
      </c>
      <c r="K9" s="195" t="s">
        <v>44</v>
      </c>
      <c r="L9" s="195" t="s">
        <v>45</v>
      </c>
      <c r="M9" s="195" t="s">
        <v>46</v>
      </c>
      <c r="N9" s="196" t="s">
        <v>47</v>
      </c>
      <c r="O9" s="44"/>
    </row>
    <row r="10" spans="1:17" ht="15.6">
      <c r="A10" s="693" t="s">
        <v>54</v>
      </c>
      <c r="B10" s="693"/>
      <c r="C10" s="693"/>
      <c r="D10" s="693"/>
      <c r="E10" s="693"/>
      <c r="F10" s="46">
        <f>AVERAGE(K10:K19)</f>
        <v>4.35069572829615E-2</v>
      </c>
      <c r="G10" s="686" t="s">
        <v>62</v>
      </c>
      <c r="H10" s="49"/>
      <c r="I10" s="180">
        <v>2010</v>
      </c>
      <c r="J10" s="39">
        <v>0.14821092278719414</v>
      </c>
      <c r="K10" s="39">
        <v>8.4629338803557719E-2</v>
      </c>
      <c r="L10" s="39">
        <v>1.6400399999999999E-2</v>
      </c>
      <c r="M10" s="39">
        <v>3.1699999999999999E-2</v>
      </c>
      <c r="N10" s="39">
        <v>1.72E-2</v>
      </c>
      <c r="O10" s="45"/>
      <c r="P10" s="18"/>
    </row>
    <row r="11" spans="1:17">
      <c r="A11" s="697" t="s">
        <v>48</v>
      </c>
      <c r="B11" s="697"/>
      <c r="C11" s="697"/>
      <c r="D11" s="697"/>
      <c r="E11" s="697"/>
      <c r="F11" s="46">
        <f>AVERAGE(L10:L19)</f>
        <v>1.8196170000000001E-2</v>
      </c>
      <c r="G11" s="686"/>
      <c r="H11" s="49"/>
      <c r="I11" s="180">
        <v>2011</v>
      </c>
      <c r="J11" s="39">
        <v>2.09837473362805E-2</v>
      </c>
      <c r="K11" s="39">
        <v>0.16035334999461354</v>
      </c>
      <c r="L11" s="39">
        <v>3.1568399999999996E-2</v>
      </c>
      <c r="M11" s="39">
        <v>3.73E-2</v>
      </c>
      <c r="N11" s="39">
        <v>1.95E-2</v>
      </c>
      <c r="O11" s="45"/>
    </row>
    <row r="12" spans="1:17">
      <c r="A12" s="693" t="s">
        <v>49</v>
      </c>
      <c r="B12" s="693"/>
      <c r="C12" s="693"/>
      <c r="D12" s="693"/>
      <c r="E12" s="693"/>
      <c r="F12" s="47">
        <f>((1+F10)/(1+F11)-1)</f>
        <v>2.4858458545332862E-2</v>
      </c>
      <c r="G12" s="686"/>
      <c r="H12" s="49"/>
      <c r="I12" s="180">
        <v>2012</v>
      </c>
      <c r="J12" s="39">
        <v>0.15890585241730293</v>
      </c>
      <c r="K12" s="39">
        <v>2.971571978018946E-2</v>
      </c>
      <c r="L12" s="39">
        <v>2.0693400000000001E-2</v>
      </c>
      <c r="M12" s="39">
        <v>2.4400000000000002E-2</v>
      </c>
      <c r="N12" s="39">
        <v>1.12E-2</v>
      </c>
      <c r="O12" s="45"/>
    </row>
    <row r="13" spans="1:17">
      <c r="A13" s="42"/>
      <c r="B13" s="40"/>
      <c r="C13" s="40"/>
      <c r="D13" s="40"/>
      <c r="E13" s="40"/>
      <c r="F13" s="40"/>
      <c r="G13" s="686"/>
      <c r="H13" s="49"/>
      <c r="I13" s="180">
        <v>2013</v>
      </c>
      <c r="J13" s="39">
        <v>0.32145085858125483</v>
      </c>
      <c r="K13" s="39">
        <v>-9.104568794347262E-2</v>
      </c>
      <c r="L13" s="39">
        <v>1.4648300000000001E-2</v>
      </c>
      <c r="M13" s="39">
        <v>1.9400000000000001E-2</v>
      </c>
      <c r="N13" s="39">
        <v>1.66E-2</v>
      </c>
      <c r="O13" s="45"/>
    </row>
    <row r="14" spans="1:17">
      <c r="A14" s="697" t="s">
        <v>50</v>
      </c>
      <c r="B14" s="697"/>
      <c r="C14" s="697"/>
      <c r="D14" s="697"/>
      <c r="E14" s="697"/>
      <c r="F14" s="46">
        <f>AVERAGE(M10:M19)</f>
        <v>3.8529999999999995E-2</v>
      </c>
      <c r="G14" s="686"/>
      <c r="H14" s="49"/>
      <c r="I14" s="180">
        <v>2014</v>
      </c>
      <c r="J14" s="39">
        <v>0.13524421649462237</v>
      </c>
      <c r="K14" s="39">
        <v>0.10746180452004755</v>
      </c>
      <c r="L14" s="39">
        <v>1.6222199999999999E-2</v>
      </c>
      <c r="M14" s="39">
        <v>3.6600000000000001E-2</v>
      </c>
      <c r="N14" s="39">
        <v>1.9599999999999999E-2</v>
      </c>
      <c r="O14" s="45"/>
    </row>
    <row r="15" spans="1:17">
      <c r="A15" s="693" t="s">
        <v>55</v>
      </c>
      <c r="B15" s="693"/>
      <c r="C15" s="693"/>
      <c r="D15" s="693"/>
      <c r="E15" s="693"/>
      <c r="F15" s="48">
        <f>((1+F14)*(1+F12)-1)</f>
        <v>6.4346254953084436E-2</v>
      </c>
      <c r="G15" s="686"/>
      <c r="H15" s="49"/>
      <c r="I15" s="180">
        <v>2015</v>
      </c>
      <c r="J15" s="39">
        <v>1.3788916411676138E-2</v>
      </c>
      <c r="K15" s="39">
        <v>1.2842996709792224E-2</v>
      </c>
      <c r="L15" s="39">
        <v>1.1862999999999999E-3</v>
      </c>
      <c r="M15" s="39">
        <v>6.7699999999999996E-2</v>
      </c>
      <c r="N15" s="39">
        <v>3.2099999999999997E-2</v>
      </c>
      <c r="O15" s="45"/>
    </row>
    <row r="16" spans="1:17">
      <c r="A16" s="42"/>
      <c r="B16" s="40"/>
      <c r="C16" s="40"/>
      <c r="D16" s="40"/>
      <c r="E16" s="40"/>
      <c r="F16" s="40"/>
      <c r="G16" s="40"/>
      <c r="H16" s="40"/>
      <c r="I16" s="180">
        <v>2016</v>
      </c>
      <c r="J16" s="39">
        <v>0.11773080874798171</v>
      </c>
      <c r="K16" s="39">
        <v>6.9055046987477921E-3</v>
      </c>
      <c r="L16" s="39">
        <v>1.26158E-2</v>
      </c>
      <c r="M16" s="39">
        <v>5.7500000000000002E-2</v>
      </c>
      <c r="N16" s="39">
        <v>2.2700000000000001E-2</v>
      </c>
      <c r="O16" s="45"/>
    </row>
    <row r="17" spans="1:15">
      <c r="A17" s="692" t="s">
        <v>51</v>
      </c>
      <c r="B17" s="692"/>
      <c r="C17" s="692"/>
      <c r="D17" s="692"/>
      <c r="E17" s="692"/>
      <c r="F17" s="41">
        <f>AVERAGE(N10:N19)</f>
        <v>1.9550000000000001E-2</v>
      </c>
      <c r="G17" s="687" t="s">
        <v>63</v>
      </c>
      <c r="H17" s="40"/>
      <c r="I17" s="180">
        <v>2017</v>
      </c>
      <c r="J17" s="39">
        <v>0.2160548143449928</v>
      </c>
      <c r="K17" s="39">
        <v>2.8017162707789457E-2</v>
      </c>
      <c r="L17" s="39">
        <v>2.1301100000000003E-2</v>
      </c>
      <c r="M17" s="39">
        <v>4.0899999999999999E-2</v>
      </c>
      <c r="N17" s="39">
        <v>1.7399999999999999E-2</v>
      </c>
      <c r="O17" s="45"/>
    </row>
    <row r="18" spans="1:15">
      <c r="A18" s="689"/>
      <c r="B18" s="690"/>
      <c r="C18" s="690"/>
      <c r="D18" s="690"/>
      <c r="E18" s="690"/>
      <c r="F18" s="691"/>
      <c r="G18" s="687"/>
      <c r="H18" s="40"/>
      <c r="I18" s="180">
        <v>2018</v>
      </c>
      <c r="J18" s="39">
        <v>-4.2268692890885438E-2</v>
      </c>
      <c r="K18" s="39">
        <v>-1.6692385713402633E-4</v>
      </c>
      <c r="L18" s="39">
        <v>2.4425800000000001E-2</v>
      </c>
      <c r="M18" s="39">
        <v>3.1800000000000002E-2</v>
      </c>
      <c r="N18" s="39">
        <v>2.3099999999999999E-2</v>
      </c>
      <c r="O18" s="45"/>
    </row>
    <row r="19" spans="1:15">
      <c r="A19" s="42"/>
      <c r="B19" s="40"/>
      <c r="C19" s="40"/>
      <c r="D19" s="40"/>
      <c r="E19" s="40"/>
      <c r="F19" s="40"/>
      <c r="G19" s="40"/>
      <c r="H19" s="40"/>
      <c r="I19" s="180">
        <v>2019</v>
      </c>
      <c r="J19" s="39">
        <v>0.31223647206653782</v>
      </c>
      <c r="K19" s="39">
        <v>9.6356307415483927E-2</v>
      </c>
      <c r="L19" s="39">
        <v>2.29E-2</v>
      </c>
      <c r="M19" s="39">
        <v>3.7999999999999999E-2</v>
      </c>
      <c r="N19" s="39">
        <v>1.61E-2</v>
      </c>
      <c r="O19" s="45"/>
    </row>
    <row r="20" spans="1:15" ht="15.6">
      <c r="A20" s="683" t="s">
        <v>59</v>
      </c>
      <c r="B20" s="683"/>
      <c r="C20" s="683"/>
      <c r="D20" s="683"/>
      <c r="E20" s="683"/>
      <c r="F20" s="24">
        <f>AVERAGE(J10:J19)</f>
        <v>0.14023379162969576</v>
      </c>
      <c r="G20" s="688" t="s">
        <v>61</v>
      </c>
      <c r="I20" s="40"/>
      <c r="O20" s="45"/>
    </row>
    <row r="21" spans="1:15">
      <c r="A21" s="684" t="s">
        <v>48</v>
      </c>
      <c r="B21" s="684"/>
      <c r="C21" s="684"/>
      <c r="D21" s="684"/>
      <c r="E21" s="684"/>
      <c r="F21" s="46">
        <f>F11</f>
        <v>1.8196170000000001E-2</v>
      </c>
      <c r="G21" s="688"/>
    </row>
    <row r="22" spans="1:15">
      <c r="A22" s="685" t="s">
        <v>60</v>
      </c>
      <c r="B22" s="685"/>
      <c r="C22" s="685"/>
      <c r="D22" s="685"/>
      <c r="E22" s="685"/>
      <c r="F22" s="47">
        <f>((1+F20)/(1+F21)-1)</f>
        <v>0.11985668894206891</v>
      </c>
      <c r="G22" s="688"/>
    </row>
    <row r="23" spans="1:15">
      <c r="G23" s="688"/>
    </row>
    <row r="24" spans="1:15">
      <c r="A24" s="684" t="s">
        <v>50</v>
      </c>
      <c r="B24" s="684"/>
      <c r="C24" s="684"/>
      <c r="D24" s="684"/>
      <c r="E24" s="684"/>
      <c r="F24" s="46">
        <f>F14</f>
        <v>3.8529999999999995E-2</v>
      </c>
      <c r="G24" s="688"/>
    </row>
    <row r="25" spans="1:15">
      <c r="A25" s="685" t="s">
        <v>58</v>
      </c>
      <c r="B25" s="685"/>
      <c r="C25" s="685"/>
      <c r="D25" s="685"/>
      <c r="E25" s="685"/>
      <c r="F25" s="48">
        <f>((1+F24)*(1+F22)-1)</f>
        <v>0.16300476716700674</v>
      </c>
      <c r="G25" s="688"/>
    </row>
    <row r="27" spans="1:15" ht="15.6">
      <c r="A27" s="682" t="s">
        <v>56</v>
      </c>
      <c r="B27" s="682"/>
      <c r="C27" s="682"/>
      <c r="D27" s="682"/>
      <c r="E27" s="682"/>
      <c r="F27" s="43">
        <f>F25-F15</f>
        <v>9.86585122139223E-2</v>
      </c>
    </row>
    <row r="30" spans="1:15">
      <c r="A30" s="524" t="s">
        <v>64</v>
      </c>
      <c r="B30" s="524"/>
      <c r="C30" s="524"/>
      <c r="D30" s="524"/>
      <c r="E30" s="524"/>
      <c r="F30" s="51">
        <v>0.34</v>
      </c>
      <c r="G30" s="52" t="s">
        <v>73</v>
      </c>
    </row>
    <row r="32" spans="1:15">
      <c r="F32" s="22">
        <f>'Analisis Financiero'!K24</f>
        <v>2020</v>
      </c>
      <c r="G32" s="22">
        <f>'Analisis Financiero'!L24</f>
        <v>2021</v>
      </c>
      <c r="H32" s="22">
        <f>'Analisis Financiero'!M24</f>
        <v>2022</v>
      </c>
      <c r="I32" s="22">
        <f>'Analisis Financiero'!N24</f>
        <v>2023</v>
      </c>
      <c r="J32" s="22">
        <f>'Analisis Financiero'!O24</f>
        <v>2024</v>
      </c>
    </row>
    <row r="33" spans="1:10">
      <c r="A33" s="707" t="s">
        <v>66</v>
      </c>
      <c r="B33" s="707"/>
      <c r="C33" s="707"/>
      <c r="D33" s="707"/>
      <c r="E33" s="707"/>
      <c r="F33" s="10">
        <f>'Analisis Financiero'!J57+'Analisis Financiero'!J64</f>
        <v>135000000</v>
      </c>
      <c r="G33" s="10">
        <f>'Analisis Financiero'!K57+'Analisis Financiero'!K64</f>
        <v>132259500</v>
      </c>
      <c r="H33" s="10">
        <f>'Analisis Financiero'!L57+'Analisis Financiero'!L64</f>
        <v>130227465.04199998</v>
      </c>
      <c r="I33" s="10">
        <f>'Analisis Financiero'!M57+'Analisis Financiero'!M64</f>
        <v>130198163.86236551</v>
      </c>
      <c r="J33" s="10">
        <f>'Analisis Financiero'!N57+'Analisis Financiero'!N64</f>
        <v>131474105.86821669</v>
      </c>
    </row>
    <row r="34" spans="1:10">
      <c r="A34" s="707" t="s">
        <v>65</v>
      </c>
      <c r="B34" s="707"/>
      <c r="C34" s="707"/>
      <c r="D34" s="707"/>
      <c r="E34" s="707"/>
      <c r="F34" s="10">
        <f>'Analisis Financiero'!J76</f>
        <v>-110209426</v>
      </c>
      <c r="G34" s="10">
        <f>'Analisis Financiero'!K76</f>
        <v>-107972174.65219998</v>
      </c>
      <c r="H34" s="10">
        <f>'Analisis Financiero'!L76</f>
        <v>-106313290.16084363</v>
      </c>
      <c r="I34" s="10">
        <f>'Analisis Financiero'!M76</f>
        <v>-106289369.67055744</v>
      </c>
      <c r="J34" s="10">
        <f>'Analisis Financiero'!N76</f>
        <v>-107331005.49332884</v>
      </c>
    </row>
    <row r="35" spans="1:10">
      <c r="A35" s="707" t="s">
        <v>67</v>
      </c>
      <c r="B35" s="707"/>
      <c r="C35" s="707"/>
      <c r="D35" s="707"/>
      <c r="E35" s="707"/>
      <c r="F35" s="50">
        <f>$F$30*(1+(1-('Analisis Financiero'!K97/'Analisis Financiero'!K96))*'Valoración Sin Estrategia'!F33/'Valoración Sin Estrategia'!F34)</f>
        <v>-7.647980273484048E-2</v>
      </c>
      <c r="G35" s="50">
        <f>$F$30*(1+(1-('Analisis Financiero'!L97/'Analisis Financiero'!L96))*'Valoración Sin Estrategia'!G33/'Valoración Sin Estrategia'!G34)</f>
        <v>-7.6479802734840563E-2</v>
      </c>
      <c r="H35" s="50">
        <f>$F$30*(1+(1-('Analisis Financiero'!M97/'Analisis Financiero'!M96))*'Valoración Sin Estrategia'!H33/'Valoración Sin Estrategia'!H34)</f>
        <v>-7.6479802734840327E-2</v>
      </c>
      <c r="I35" s="50">
        <f>$F$30*(1+(1-('Analisis Financiero'!N97/'Analisis Financiero'!N96))*'Valoración Sin Estrategia'!I33/'Valoración Sin Estrategia'!I34)</f>
        <v>-7.6479802734840258E-2</v>
      </c>
      <c r="J35" s="50">
        <f>$F$30*(1+(1-('Analisis Financiero'!O97/'Analisis Financiero'!O96))*'Valoración Sin Estrategia'!J33/'Valoración Sin Estrategia'!J34)</f>
        <v>-7.647980273484048E-2</v>
      </c>
    </row>
    <row r="37" spans="1:10" ht="15.6">
      <c r="A37" s="708" t="s">
        <v>68</v>
      </c>
      <c r="B37" s="708"/>
      <c r="C37" s="708"/>
      <c r="D37" s="708"/>
      <c r="E37" s="708"/>
      <c r="F37" s="19">
        <f>$F$15+($F$25-$F$15)*F35+$F$17</f>
        <v>7.6350871400850812E-2</v>
      </c>
      <c r="G37" s="19">
        <f t="shared" ref="G37:J37" si="0">$F$15+($F$25-$F$15)*G35+$F$17</f>
        <v>7.6350871400850798E-2</v>
      </c>
      <c r="H37" s="19">
        <f t="shared" si="0"/>
        <v>7.6350871400850825E-2</v>
      </c>
      <c r="I37" s="19">
        <f t="shared" si="0"/>
        <v>7.6350871400850825E-2</v>
      </c>
      <c r="J37" s="19">
        <f t="shared" si="0"/>
        <v>7.6350871400850812E-2</v>
      </c>
    </row>
    <row r="40" spans="1:10">
      <c r="A40" s="709" t="s">
        <v>70</v>
      </c>
      <c r="B40" s="710"/>
      <c r="C40" s="710"/>
      <c r="D40" s="710"/>
      <c r="E40" s="711"/>
      <c r="F40" s="13">
        <f>+F33/(F33+F34)</f>
        <v>5.4456181611607706</v>
      </c>
      <c r="G40" s="13">
        <f t="shared" ref="G40:J40" si="1">+G33/(G33+G34)</f>
        <v>5.4456181611607661</v>
      </c>
      <c r="H40" s="13">
        <f t="shared" si="1"/>
        <v>5.4456181611607795</v>
      </c>
      <c r="I40" s="13">
        <f t="shared" si="1"/>
        <v>5.4456181611607839</v>
      </c>
      <c r="J40" s="13">
        <f t="shared" si="1"/>
        <v>5.4456181611607697</v>
      </c>
    </row>
    <row r="41" spans="1:10">
      <c r="A41" s="709" t="s">
        <v>69</v>
      </c>
      <c r="B41" s="710"/>
      <c r="C41" s="710"/>
      <c r="D41" s="710"/>
      <c r="E41" s="711"/>
      <c r="F41" s="13">
        <f>F34/(F33+F34)</f>
        <v>-4.4456181611607706</v>
      </c>
      <c r="G41" s="13">
        <f t="shared" ref="G41:J41" si="2">G34/(G33+G34)</f>
        <v>-4.4456181611607661</v>
      </c>
      <c r="H41" s="13">
        <f t="shared" si="2"/>
        <v>-4.4456181611607795</v>
      </c>
      <c r="I41" s="13">
        <f t="shared" si="2"/>
        <v>-4.4456181611607839</v>
      </c>
      <c r="J41" s="13">
        <f t="shared" si="2"/>
        <v>-4.4456181611607697</v>
      </c>
    </row>
    <row r="42" spans="1:10">
      <c r="A42" s="724" t="s">
        <v>72</v>
      </c>
      <c r="B42" s="725"/>
      <c r="C42" s="725"/>
      <c r="D42" s="725"/>
      <c r="E42" s="726"/>
      <c r="F42" s="19">
        <f>F40+F41</f>
        <v>1</v>
      </c>
      <c r="G42" s="19">
        <f t="shared" ref="G42:J42" si="3">G40+G41</f>
        <v>1</v>
      </c>
      <c r="H42" s="19">
        <f t="shared" si="3"/>
        <v>1</v>
      </c>
      <c r="I42" s="19">
        <f t="shared" si="3"/>
        <v>1</v>
      </c>
      <c r="J42" s="19">
        <f t="shared" si="3"/>
        <v>1</v>
      </c>
    </row>
    <row r="44" spans="1:10">
      <c r="A44" s="707" t="s">
        <v>71</v>
      </c>
      <c r="B44" s="707"/>
      <c r="C44" s="707"/>
      <c r="D44" s="707"/>
      <c r="E44" s="707"/>
      <c r="F44" s="14">
        <f>+'Analisis Financiero'!X16*(1-('Analisis Financiero'!K97/'Analisis Financiero'!K96))</f>
        <v>0.13333333333333286</v>
      </c>
      <c r="G44" s="14">
        <f>+'Analisis Financiero'!Y16*(1-('Analisis Financiero'!L97/'Analisis Financiero'!L96))</f>
        <v>0.15944444444444628</v>
      </c>
      <c r="H44" s="14">
        <f>+'Analisis Financiero'!Z16*(1-('Analisis Financiero'!M97/'Analisis Financiero'!M96))</f>
        <v>0.18703703703704377</v>
      </c>
      <c r="I44" s="14">
        <f>+'Analisis Financiero'!AA16*(1-('Analisis Financiero'!N97/'Analisis Financiero'!N96))</f>
        <v>0.21364197530864715</v>
      </c>
      <c r="J44" s="14">
        <f>+'Analisis Financiero'!AB16*(1-('Analisis Financiero'!O97/'Analisis Financiero'!O96))</f>
        <v>0.2409053497942466</v>
      </c>
    </row>
    <row r="46" spans="1:10">
      <c r="A46" s="707" t="s">
        <v>74</v>
      </c>
      <c r="B46" s="707"/>
      <c r="C46" s="707"/>
      <c r="D46" s="707"/>
      <c r="E46" s="707"/>
      <c r="F46" s="13">
        <f>F40*F44</f>
        <v>0.7260824214881002</v>
      </c>
      <c r="G46" s="13">
        <f t="shared" ref="G46:J46" si="4">G40*G44</f>
        <v>0.86827356236286546</v>
      </c>
      <c r="H46" s="13">
        <f t="shared" si="4"/>
        <v>1.018532285698627</v>
      </c>
      <c r="I46" s="13">
        <f t="shared" si="4"/>
        <v>1.1634126207270328</v>
      </c>
      <c r="J46" s="13">
        <f t="shared" si="4"/>
        <v>1.3118785479603372</v>
      </c>
    </row>
    <row r="47" spans="1:10">
      <c r="A47" s="707" t="s">
        <v>75</v>
      </c>
      <c r="B47" s="707"/>
      <c r="C47" s="707"/>
      <c r="D47" s="707"/>
      <c r="E47" s="707"/>
      <c r="F47" s="13">
        <f>F41*F37</f>
        <v>-0.33942682052007284</v>
      </c>
      <c r="G47" s="13">
        <f t="shared" ref="G47:J47" si="5">G41*G37</f>
        <v>-0.33942682052007245</v>
      </c>
      <c r="H47" s="13">
        <f t="shared" si="5"/>
        <v>-0.33942682052007361</v>
      </c>
      <c r="I47" s="13">
        <f t="shared" si="5"/>
        <v>-0.33942682052007395</v>
      </c>
      <c r="J47" s="13">
        <f t="shared" si="5"/>
        <v>-0.33942682052007278</v>
      </c>
    </row>
    <row r="49" spans="1:17">
      <c r="A49" s="727" t="s">
        <v>76</v>
      </c>
      <c r="B49" s="727"/>
      <c r="C49" s="727"/>
      <c r="D49" s="727"/>
      <c r="E49" s="727"/>
      <c r="F49" s="14">
        <f>F46+F47</f>
        <v>0.38665560096802737</v>
      </c>
      <c r="G49" s="14">
        <f t="shared" ref="G49:J49" si="6">G46+G47</f>
        <v>0.52884674184279301</v>
      </c>
      <c r="H49" s="14">
        <f t="shared" si="6"/>
        <v>0.6791054651785533</v>
      </c>
      <c r="I49" s="14">
        <f t="shared" si="6"/>
        <v>0.82398580020695888</v>
      </c>
      <c r="J49" s="14">
        <f t="shared" si="6"/>
        <v>0.97245172744026442</v>
      </c>
    </row>
    <row r="50" spans="1:17" ht="15" thickBot="1">
      <c r="A50" s="38"/>
      <c r="B50" s="38"/>
      <c r="C50" s="38"/>
      <c r="D50" s="38"/>
      <c r="E50" s="38"/>
      <c r="F50" s="61"/>
      <c r="G50" s="61"/>
      <c r="H50" s="61"/>
      <c r="I50" s="61"/>
      <c r="J50" s="61"/>
    </row>
    <row r="51" spans="1:17" ht="15" customHeight="1">
      <c r="A51" s="651" t="s">
        <v>89</v>
      </c>
      <c r="B51" s="652"/>
      <c r="C51" s="652"/>
      <c r="D51" s="652"/>
      <c r="E51" s="652"/>
      <c r="F51" s="652"/>
      <c r="G51" s="652"/>
      <c r="H51" s="652"/>
      <c r="I51" s="652"/>
      <c r="J51" s="653"/>
      <c r="K51" s="62"/>
      <c r="L51" s="62"/>
      <c r="M51" s="62"/>
      <c r="N51" s="62"/>
      <c r="O51" s="62"/>
      <c r="P51" s="62"/>
      <c r="Q51" s="62"/>
    </row>
    <row r="52" spans="1:17" ht="15.75" customHeight="1" thickBot="1">
      <c r="A52" s="654"/>
      <c r="B52" s="655"/>
      <c r="C52" s="655"/>
      <c r="D52" s="655"/>
      <c r="E52" s="655"/>
      <c r="F52" s="655"/>
      <c r="G52" s="655"/>
      <c r="H52" s="655"/>
      <c r="I52" s="655"/>
      <c r="J52" s="656"/>
      <c r="K52" s="62"/>
      <c r="L52" s="62"/>
      <c r="M52" s="62"/>
      <c r="N52" s="62"/>
      <c r="O52" s="62"/>
      <c r="P52" s="62"/>
      <c r="Q52" s="62"/>
    </row>
    <row r="53" spans="1:17" ht="15" thickBot="1"/>
    <row r="54" spans="1:17">
      <c r="A54" s="63"/>
      <c r="B54" s="728"/>
      <c r="C54" s="729"/>
      <c r="D54" s="729"/>
      <c r="E54" s="730"/>
      <c r="F54" s="69">
        <f>F32</f>
        <v>2020</v>
      </c>
      <c r="G54" s="69">
        <f>G32</f>
        <v>2021</v>
      </c>
      <c r="H54" s="69">
        <f>H32</f>
        <v>2022</v>
      </c>
      <c r="I54" s="69">
        <f>I32</f>
        <v>2023</v>
      </c>
      <c r="J54" s="69">
        <f>J32</f>
        <v>2024</v>
      </c>
      <c r="K54" s="55"/>
    </row>
    <row r="55" spans="1:17">
      <c r="A55" s="64"/>
      <c r="B55" s="716" t="s">
        <v>77</v>
      </c>
      <c r="C55" s="717"/>
      <c r="D55" s="717"/>
      <c r="E55" s="718"/>
      <c r="F55" s="221">
        <f>'Analisis Financiero'!K98</f>
        <v>-55996908.907095924</v>
      </c>
      <c r="G55" s="221">
        <f>'Analisis Financiero'!L98</f>
        <v>-55136572.398647301</v>
      </c>
      <c r="H55" s="221">
        <f>'Analisis Financiero'!M98</f>
        <v>-55124166.669857599</v>
      </c>
      <c r="I55" s="221">
        <f>'Analisis Financiero'!N98</f>
        <v>-55664383.503222197</v>
      </c>
      <c r="J55" s="221">
        <f>'Analisis Financiero'!O98</f>
        <v>-57740665.007892333</v>
      </c>
      <c r="K55" s="55"/>
    </row>
    <row r="56" spans="1:17">
      <c r="A56" s="65"/>
      <c r="B56" s="716" t="s">
        <v>78</v>
      </c>
      <c r="C56" s="717"/>
      <c r="D56" s="717"/>
      <c r="E56" s="718"/>
      <c r="F56" s="222">
        <f>'Analisis Financiero'!K97</f>
        <v>0</v>
      </c>
      <c r="G56" s="222">
        <f>'Analisis Financiero'!L97</f>
        <v>0</v>
      </c>
      <c r="H56" s="222">
        <f>'Analisis Financiero'!M97</f>
        <v>0</v>
      </c>
      <c r="I56" s="222">
        <f>'Analisis Financiero'!N97</f>
        <v>0</v>
      </c>
      <c r="J56" s="222">
        <f>'Analisis Financiero'!O97</f>
        <v>0</v>
      </c>
      <c r="K56" s="57"/>
    </row>
    <row r="57" spans="1:17" ht="15" thickBot="1">
      <c r="A57" s="65"/>
      <c r="B57" s="716" t="s">
        <v>79</v>
      </c>
      <c r="C57" s="717"/>
      <c r="D57" s="717"/>
      <c r="E57" s="718"/>
      <c r="F57" s="223">
        <f>'Analisis Financiero'!K94</f>
        <v>19264352.513363667</v>
      </c>
      <c r="G57" s="223">
        <f>'Analisis Financiero'!L94</f>
        <v>18968375.001348346</v>
      </c>
      <c r="H57" s="223">
        <f>'Analisis Financiero'!M94</f>
        <v>18964107.116973042</v>
      </c>
      <c r="I57" s="223">
        <f>'Analisis Financiero'!N94</f>
        <v>19149955.36671938</v>
      </c>
      <c r="J57" s="223">
        <f>'Analisis Financiero'!O94</f>
        <v>19864248.701898009</v>
      </c>
      <c r="K57" s="57"/>
    </row>
    <row r="58" spans="1:17">
      <c r="A58" s="65"/>
      <c r="B58" s="719" t="s">
        <v>80</v>
      </c>
      <c r="C58" s="720"/>
      <c r="D58" s="720"/>
      <c r="E58" s="721"/>
      <c r="F58" s="224">
        <f>F55+F56+F57</f>
        <v>-36732556.393732257</v>
      </c>
      <c r="G58" s="224">
        <f t="shared" ref="G58:J58" si="7">G55+G56+G57</f>
        <v>-36168197.397298954</v>
      </c>
      <c r="H58" s="224">
        <f t="shared" si="7"/>
        <v>-36160059.552884556</v>
      </c>
      <c r="I58" s="224">
        <f t="shared" si="7"/>
        <v>-36514428.136502817</v>
      </c>
      <c r="J58" s="224">
        <f t="shared" si="7"/>
        <v>-37876416.305994324</v>
      </c>
      <c r="K58" s="56"/>
    </row>
    <row r="59" spans="1:17">
      <c r="A59" s="65"/>
      <c r="B59" s="59"/>
      <c r="C59" s="53"/>
      <c r="D59" s="53"/>
      <c r="E59" s="53"/>
      <c r="F59" s="53"/>
      <c r="G59" s="53"/>
      <c r="H59" s="53"/>
      <c r="I59" s="53"/>
      <c r="J59" s="53"/>
      <c r="K59" s="53"/>
    </row>
    <row r="60" spans="1:17" ht="23.25" customHeight="1" thickBot="1">
      <c r="A60" s="65"/>
      <c r="B60" s="731" t="s">
        <v>81</v>
      </c>
      <c r="C60" s="732"/>
      <c r="D60" s="732"/>
      <c r="E60" s="733"/>
      <c r="F60" s="223">
        <f>F58*('Analisis Financiero'!K97/'Analisis Financiero'!K96)</f>
        <v>0</v>
      </c>
      <c r="G60" s="223">
        <f>G58*('Analisis Financiero'!L97/'Analisis Financiero'!L96)</f>
        <v>0</v>
      </c>
      <c r="H60" s="223">
        <f>H58*('Analisis Financiero'!M97/'Analisis Financiero'!M96)</f>
        <v>0</v>
      </c>
      <c r="I60" s="223">
        <f>I58*('Analisis Financiero'!N97/'Analisis Financiero'!N96)</f>
        <v>0</v>
      </c>
      <c r="J60" s="223">
        <f>J58*('Analisis Financiero'!O97/'Analisis Financiero'!O96)</f>
        <v>0</v>
      </c>
      <c r="K60" s="57"/>
    </row>
    <row r="61" spans="1:17">
      <c r="A61" s="65"/>
      <c r="B61" s="712" t="s">
        <v>82</v>
      </c>
      <c r="C61" s="702"/>
      <c r="D61" s="702"/>
      <c r="E61" s="703"/>
      <c r="F61" s="225">
        <f>F58-F60</f>
        <v>-36732556.393732257</v>
      </c>
      <c r="G61" s="225">
        <f t="shared" ref="G61:J61" si="8">G58-G60</f>
        <v>-36168197.397298954</v>
      </c>
      <c r="H61" s="225">
        <f t="shared" si="8"/>
        <v>-36160059.552884556</v>
      </c>
      <c r="I61" s="225">
        <f t="shared" si="8"/>
        <v>-36514428.136502817</v>
      </c>
      <c r="J61" s="225">
        <f t="shared" si="8"/>
        <v>-37876416.305994324</v>
      </c>
      <c r="K61" s="56"/>
    </row>
    <row r="62" spans="1:17">
      <c r="A62" s="65"/>
      <c r="B62" s="59"/>
      <c r="C62" s="53"/>
      <c r="D62" s="53"/>
      <c r="E62" s="53"/>
      <c r="F62" s="53"/>
      <c r="G62" s="53"/>
      <c r="H62" s="53"/>
      <c r="I62" s="53"/>
      <c r="J62" s="53"/>
      <c r="K62" s="53"/>
    </row>
    <row r="63" spans="1:17">
      <c r="A63" s="65"/>
      <c r="B63" s="713" t="s">
        <v>83</v>
      </c>
      <c r="C63" s="714"/>
      <c r="D63" s="714"/>
      <c r="E63" s="715"/>
      <c r="F63" s="222">
        <f>'Analisis Financiero'!K103</f>
        <v>7776724.666666667</v>
      </c>
      <c r="G63" s="222">
        <f>'Analisis Financiero'!L103</f>
        <v>7776724.666666667</v>
      </c>
      <c r="H63" s="222">
        <f>'Analisis Financiero'!M103</f>
        <v>7776724.666666667</v>
      </c>
      <c r="I63" s="222">
        <f>'Analisis Financiero'!N103</f>
        <v>9187669.5999999996</v>
      </c>
      <c r="J63" s="222">
        <f>'Analisis Financiero'!O103</f>
        <v>8621403.5199999996</v>
      </c>
      <c r="K63" s="57"/>
    </row>
    <row r="64" spans="1:17">
      <c r="A64" s="65"/>
      <c r="B64" s="716" t="s">
        <v>140</v>
      </c>
      <c r="C64" s="717"/>
      <c r="D64" s="717"/>
      <c r="E64" s="718"/>
      <c r="F64" s="222">
        <f>'Analisis Financiero'!K104</f>
        <v>638600</v>
      </c>
      <c r="G64" s="222">
        <f>'Analisis Financiero'!L104</f>
        <v>638600</v>
      </c>
      <c r="H64" s="222">
        <f>'Analisis Financiero'!M104</f>
        <v>638600</v>
      </c>
      <c r="I64" s="222">
        <f>'Analisis Financiero'!N104</f>
        <v>766320</v>
      </c>
      <c r="J64" s="222">
        <f>'Analisis Financiero'!O104</f>
        <v>904384</v>
      </c>
      <c r="K64" s="57"/>
    </row>
    <row r="65" spans="1:11">
      <c r="A65" s="65"/>
      <c r="B65" s="716" t="s">
        <v>141</v>
      </c>
      <c r="C65" s="717"/>
      <c r="D65" s="717"/>
      <c r="E65" s="718"/>
      <c r="F65" s="222"/>
      <c r="G65" s="226"/>
      <c r="H65" s="226"/>
      <c r="I65" s="226"/>
      <c r="J65" s="226"/>
      <c r="K65" s="57"/>
    </row>
    <row r="66" spans="1:11">
      <c r="A66" s="66"/>
      <c r="B66" s="712" t="s">
        <v>84</v>
      </c>
      <c r="C66" s="702"/>
      <c r="D66" s="702"/>
      <c r="E66" s="703"/>
      <c r="F66" s="225">
        <f>F61+F63+F64+F65</f>
        <v>-28317231.727065589</v>
      </c>
      <c r="G66" s="225">
        <f t="shared" ref="G66:J66" si="9">G61+G63+G64+G65</f>
        <v>-27752872.730632287</v>
      </c>
      <c r="H66" s="225">
        <f t="shared" si="9"/>
        <v>-27744734.886217888</v>
      </c>
      <c r="I66" s="225">
        <f t="shared" si="9"/>
        <v>-26560438.536502816</v>
      </c>
      <c r="J66" s="225">
        <f t="shared" si="9"/>
        <v>-28350628.785994325</v>
      </c>
      <c r="K66" s="56"/>
    </row>
    <row r="67" spans="1:11">
      <c r="A67" s="65"/>
      <c r="B67" s="59"/>
      <c r="C67" s="53"/>
      <c r="D67" s="53"/>
      <c r="E67" s="53"/>
      <c r="F67" s="53"/>
      <c r="G67" s="53"/>
      <c r="H67" s="53"/>
      <c r="I67" s="53"/>
      <c r="J67" s="53"/>
      <c r="K67" s="53"/>
    </row>
    <row r="68" spans="1:11">
      <c r="A68" s="228"/>
      <c r="B68" s="722" t="s">
        <v>85</v>
      </c>
      <c r="C68" s="714"/>
      <c r="D68" s="714"/>
      <c r="E68" s="715"/>
      <c r="F68" s="222">
        <f>F74-E74</f>
        <v>-23630.011999994516</v>
      </c>
      <c r="G68" s="222">
        <f t="shared" ref="G68:J68" si="10">G74-F74</f>
        <v>-17521.259055644274</v>
      </c>
      <c r="H68" s="222">
        <f t="shared" si="10"/>
        <v>-252.64996400475502</v>
      </c>
      <c r="I68" s="222">
        <f t="shared" si="10"/>
        <v>11001.833574026823</v>
      </c>
      <c r="J68" s="222">
        <f t="shared" si="10"/>
        <v>42284.694138258696</v>
      </c>
      <c r="K68" s="57"/>
    </row>
    <row r="69" spans="1:11" ht="15" thickBot="1">
      <c r="A69" s="228"/>
      <c r="B69" s="723" t="s">
        <v>190</v>
      </c>
      <c r="C69" s="717"/>
      <c r="D69" s="717"/>
      <c r="E69" s="718"/>
      <c r="F69" s="222">
        <f>'Analisis Financiero'!K49-'Analisis Financiero'!J49</f>
        <v>-216338.03380000032</v>
      </c>
      <c r="G69" s="222">
        <f>'Analisis Financiero'!L49-'Analisis Financiero'!K49</f>
        <v>-160411.03719269857</v>
      </c>
      <c r="H69" s="222">
        <f>'Analisis Financiero'!M49-'Analisis Financiero'!L49</f>
        <v>-2313.0668090283871</v>
      </c>
      <c r="I69" s="222">
        <f>'Analisis Financiero'!N49-'Analisis Financiero'!M49</f>
        <v>100724.24184954353</v>
      </c>
      <c r="J69" s="222">
        <f>'Analisis Financiero'!O49-'Analisis Financiero'!N49</f>
        <v>387125.81228098273</v>
      </c>
      <c r="K69" s="57"/>
    </row>
    <row r="70" spans="1:11" ht="15" thickBot="1">
      <c r="A70" s="229"/>
      <c r="B70" s="701" t="s">
        <v>87</v>
      </c>
      <c r="C70" s="702"/>
      <c r="D70" s="702"/>
      <c r="E70" s="703"/>
      <c r="F70" s="227">
        <f>F68+F69</f>
        <v>-239968.04579999484</v>
      </c>
      <c r="G70" s="227">
        <f t="shared" ref="G70:J70" si="11">G68+G69</f>
        <v>-177932.29624834284</v>
      </c>
      <c r="H70" s="227">
        <f t="shared" si="11"/>
        <v>-2565.7167730331421</v>
      </c>
      <c r="I70" s="227">
        <f t="shared" si="11"/>
        <v>111726.07542357035</v>
      </c>
      <c r="J70" s="227">
        <f t="shared" si="11"/>
        <v>429410.50641924143</v>
      </c>
      <c r="K70" s="56"/>
    </row>
    <row r="71" spans="1:11" ht="13.5" customHeight="1">
      <c r="A71" s="67"/>
      <c r="B71" s="60"/>
      <c r="C71" s="54"/>
      <c r="D71" s="54"/>
      <c r="E71" s="54"/>
      <c r="F71" s="54"/>
      <c r="G71" s="54"/>
      <c r="H71" s="54"/>
      <c r="I71" s="54"/>
      <c r="J71" s="54"/>
      <c r="K71" s="54"/>
    </row>
    <row r="72" spans="1:11" ht="18" thickBot="1">
      <c r="A72" s="68"/>
      <c r="B72" s="704" t="s">
        <v>88</v>
      </c>
      <c r="C72" s="705"/>
      <c r="D72" s="705"/>
      <c r="E72" s="706"/>
      <c r="F72" s="230">
        <f>F66-F70</f>
        <v>-28077263.681265593</v>
      </c>
      <c r="G72" s="230">
        <f t="shared" ref="G72:J72" si="12">G66-G70</f>
        <v>-27574940.434383944</v>
      </c>
      <c r="H72" s="230">
        <f t="shared" si="12"/>
        <v>-27742169.169444855</v>
      </c>
      <c r="I72" s="230">
        <f t="shared" si="12"/>
        <v>-26672164.611926384</v>
      </c>
      <c r="J72" s="230">
        <f t="shared" si="12"/>
        <v>-28780039.292413566</v>
      </c>
      <c r="K72" s="58"/>
    </row>
    <row r="73" spans="1:11">
      <c r="A73" s="99" t="s">
        <v>242</v>
      </c>
    </row>
    <row r="74" spans="1:11" ht="15" thickBot="1">
      <c r="A74" s="639" t="s">
        <v>243</v>
      </c>
      <c r="B74" s="640"/>
      <c r="C74" s="640"/>
      <c r="D74" s="641"/>
      <c r="E74" s="153">
        <f>'Analisis Financiero'!J42+'Analisis Financiero'!J43-'Analisis Financiero'!J58</f>
        <v>1164040</v>
      </c>
      <c r="F74" s="153">
        <f>'Analisis Financiero'!K42+'Analisis Financiero'!K43-'Analisis Financiero'!K58</f>
        <v>1140409.9880000055</v>
      </c>
      <c r="G74" s="153">
        <f>'Analisis Financiero'!L42+'Analisis Financiero'!L43-'Analisis Financiero'!L58</f>
        <v>1122888.7289443612</v>
      </c>
      <c r="H74" s="153">
        <f>'Analisis Financiero'!M42+'Analisis Financiero'!M43-'Analisis Financiero'!M58</f>
        <v>1122636.0789803565</v>
      </c>
      <c r="I74" s="153">
        <f>'Analisis Financiero'!N42+'Analisis Financiero'!N43-'Analisis Financiero'!N58</f>
        <v>1133637.9125543833</v>
      </c>
      <c r="J74" s="153">
        <f>'Analisis Financiero'!O42+'Analisis Financiero'!O43-'Analisis Financiero'!O58</f>
        <v>1175922.606692642</v>
      </c>
    </row>
    <row r="75" spans="1:11">
      <c r="A75" s="651" t="s">
        <v>92</v>
      </c>
      <c r="B75" s="652"/>
      <c r="C75" s="652"/>
      <c r="D75" s="652"/>
      <c r="E75" s="652"/>
      <c r="F75" s="652"/>
      <c r="G75" s="652"/>
      <c r="H75" s="652"/>
      <c r="I75" s="652"/>
      <c r="J75" s="653"/>
    </row>
    <row r="76" spans="1:11" ht="15" thickBot="1">
      <c r="A76" s="654"/>
      <c r="B76" s="655"/>
      <c r="C76" s="655"/>
      <c r="D76" s="655"/>
      <c r="E76" s="655"/>
      <c r="F76" s="655"/>
      <c r="G76" s="655"/>
      <c r="H76" s="655"/>
      <c r="I76" s="655"/>
      <c r="J76" s="656"/>
    </row>
    <row r="79" spans="1:11">
      <c r="J79" s="69">
        <f>J54</f>
        <v>2024</v>
      </c>
    </row>
    <row r="80" spans="1:11">
      <c r="E80" s="71" t="s">
        <v>96</v>
      </c>
      <c r="F80" s="657" t="s">
        <v>93</v>
      </c>
      <c r="G80" s="658"/>
      <c r="H80" s="658"/>
      <c r="I80" s="658"/>
      <c r="J80" s="72">
        <f>J72</f>
        <v>-28780039.292413566</v>
      </c>
    </row>
    <row r="81" spans="1:12">
      <c r="E81" s="71" t="s">
        <v>102</v>
      </c>
      <c r="F81" s="657" t="s">
        <v>94</v>
      </c>
      <c r="G81" s="658"/>
      <c r="H81" s="658"/>
      <c r="I81" s="658"/>
      <c r="J81" s="102">
        <f>J49</f>
        <v>0.97245172744026442</v>
      </c>
    </row>
    <row r="82" spans="1:12">
      <c r="E82" s="73" t="s">
        <v>95</v>
      </c>
      <c r="F82" s="74" t="s">
        <v>103</v>
      </c>
      <c r="G82" s="75"/>
      <c r="H82" s="76">
        <f>CHOOSE('Analisis Financiero'!$F$30,AVERAGE('Analisis Financiero'!K26:O26),AVERAGE('Analisis Financiero'!S26:W26),AVERAGE('Analisis Financiero'!Y26:AC26))</f>
        <v>-1.4199999999999999E-2</v>
      </c>
      <c r="I82" s="197">
        <f>CHOOSE('Analisis Financiero'!$F$30,AVERAGE('Analisis Financiero'!K25:O25),AVERAGE('Analisis Financiero'!S25:W25),AVERAGE('Analisis Financiero'!Y25:AC25))</f>
        <v>1.6599999999999997E-2</v>
      </c>
      <c r="J82" s="77">
        <f>((1+H82)*(1+I82)-1)</f>
        <v>2.1642799999999074E-3</v>
      </c>
    </row>
    <row r="83" spans="1:12" ht="15" thickBot="1"/>
    <row r="84" spans="1:12" ht="18" thickBot="1">
      <c r="E84" s="78" t="s">
        <v>104</v>
      </c>
      <c r="F84" s="674" t="s">
        <v>97</v>
      </c>
      <c r="G84" s="675"/>
      <c r="H84" s="675"/>
      <c r="I84" s="676"/>
      <c r="J84" s="70"/>
    </row>
    <row r="85" spans="1:12">
      <c r="F85" s="670" t="s">
        <v>98</v>
      </c>
      <c r="G85" s="670"/>
      <c r="H85" s="670"/>
      <c r="I85" s="670"/>
      <c r="J85" s="80">
        <f>J80</f>
        <v>-28780039.292413566</v>
      </c>
      <c r="K85" s="645" t="s">
        <v>107</v>
      </c>
      <c r="L85" s="646"/>
    </row>
    <row r="86" spans="1:12">
      <c r="F86" s="671" t="s">
        <v>101</v>
      </c>
      <c r="G86" s="672"/>
      <c r="H86" s="672"/>
      <c r="I86" s="673"/>
      <c r="J86" s="81">
        <f>J81</f>
        <v>0.97245172744026442</v>
      </c>
      <c r="K86" s="647"/>
      <c r="L86" s="648"/>
    </row>
    <row r="87" spans="1:12" ht="15" thickBot="1">
      <c r="F87" s="669" t="s">
        <v>99</v>
      </c>
      <c r="G87" s="669"/>
      <c r="H87" s="669"/>
      <c r="I87" s="669"/>
      <c r="J87" s="82">
        <f>J85/J86</f>
        <v>-29595339.779147506</v>
      </c>
      <c r="K87" s="649"/>
      <c r="L87" s="650"/>
    </row>
    <row r="88" spans="1:12" ht="15" thickBot="1"/>
    <row r="89" spans="1:12" ht="18" thickBot="1">
      <c r="E89" s="79" t="s">
        <v>105</v>
      </c>
      <c r="F89" s="674" t="s">
        <v>100</v>
      </c>
      <c r="G89" s="675"/>
      <c r="H89" s="675"/>
      <c r="I89" s="676"/>
      <c r="J89" s="70"/>
    </row>
    <row r="90" spans="1:12" ht="15" customHeight="1">
      <c r="E90" s="70"/>
      <c r="F90" s="735" t="s">
        <v>98</v>
      </c>
      <c r="G90" s="736"/>
      <c r="H90" s="736"/>
      <c r="I90" s="737"/>
      <c r="J90" s="83">
        <f>J80</f>
        <v>-28780039.292413566</v>
      </c>
      <c r="K90" s="659" t="s">
        <v>108</v>
      </c>
      <c r="L90" s="660"/>
    </row>
    <row r="91" spans="1:12" ht="15" customHeight="1">
      <c r="E91" s="70"/>
      <c r="F91" s="738" t="s">
        <v>101</v>
      </c>
      <c r="G91" s="739"/>
      <c r="H91" s="739"/>
      <c r="I91" s="740"/>
      <c r="J91" s="84">
        <f>J81</f>
        <v>0.97245172744026442</v>
      </c>
      <c r="K91" s="661"/>
      <c r="L91" s="662"/>
    </row>
    <row r="92" spans="1:12" ht="15.75" customHeight="1">
      <c r="E92" s="70"/>
      <c r="F92" s="738" t="s">
        <v>106</v>
      </c>
      <c r="G92" s="739"/>
      <c r="H92" s="739"/>
      <c r="I92" s="740"/>
      <c r="J92" s="84">
        <f>J82</f>
        <v>2.1642799999999074E-3</v>
      </c>
      <c r="K92" s="661"/>
      <c r="L92" s="662"/>
    </row>
    <row r="93" spans="1:12" ht="15" thickBot="1">
      <c r="F93" s="734" t="s">
        <v>187</v>
      </c>
      <c r="G93" s="734"/>
      <c r="H93" s="734"/>
      <c r="I93" s="734"/>
      <c r="J93" s="85">
        <f>(J90*(1+J92))/(J91-J92)</f>
        <v>-29725549.301851623</v>
      </c>
      <c r="K93" s="663"/>
      <c r="L93" s="664"/>
    </row>
    <row r="95" spans="1:12" ht="15" thickBot="1"/>
    <row r="96" spans="1:12">
      <c r="A96" s="678" t="s">
        <v>116</v>
      </c>
      <c r="B96" s="678"/>
      <c r="C96" s="678"/>
      <c r="D96" s="678"/>
      <c r="E96" s="678"/>
      <c r="F96" s="69">
        <f>F54</f>
        <v>2020</v>
      </c>
      <c r="G96" s="69">
        <f>G54</f>
        <v>2021</v>
      </c>
      <c r="H96" s="69">
        <f>H54</f>
        <v>2022</v>
      </c>
      <c r="I96" s="69">
        <f>I54</f>
        <v>2023</v>
      </c>
      <c r="J96" s="98">
        <f>J54</f>
        <v>2024</v>
      </c>
      <c r="K96" s="747" t="s">
        <v>155</v>
      </c>
    </row>
    <row r="97" spans="1:11">
      <c r="A97" s="548" t="s">
        <v>109</v>
      </c>
      <c r="B97" s="548"/>
      <c r="C97" s="548"/>
      <c r="D97" s="548"/>
      <c r="E97" s="548"/>
      <c r="F97" s="20">
        <f>F49</f>
        <v>0.38665560096802737</v>
      </c>
      <c r="G97" s="20">
        <f t="shared" ref="G97:J97" si="13">G49</f>
        <v>0.52884674184279301</v>
      </c>
      <c r="H97" s="20">
        <f t="shared" si="13"/>
        <v>0.6791054651785533</v>
      </c>
      <c r="I97" s="20">
        <f t="shared" si="13"/>
        <v>0.82398580020695888</v>
      </c>
      <c r="J97" s="20">
        <f t="shared" si="13"/>
        <v>0.97245172744026442</v>
      </c>
      <c r="K97" s="748"/>
    </row>
    <row r="98" spans="1:11">
      <c r="A98" s="665" t="s">
        <v>110</v>
      </c>
      <c r="B98" s="665"/>
      <c r="C98" s="665"/>
      <c r="D98" s="665"/>
      <c r="E98" s="665"/>
      <c r="F98" s="244">
        <f>F97</f>
        <v>0.38665560096802737</v>
      </c>
      <c r="G98" s="244">
        <f>(F98+1)*(1+G97)-1</f>
        <v>1.1199838975980287</v>
      </c>
      <c r="H98" s="244">
        <f t="shared" ref="H98:J98" si="14">(G98+1)*(1+H97)-1</f>
        <v>2.5596765485473805</v>
      </c>
      <c r="I98" s="244">
        <f t="shared" si="14"/>
        <v>5.4927994778801397</v>
      </c>
      <c r="J98" s="244">
        <f t="shared" si="14"/>
        <v>11.806733546067928</v>
      </c>
      <c r="K98" s="748"/>
    </row>
    <row r="99" spans="1:11">
      <c r="A99" s="236"/>
      <c r="B99" s="239"/>
      <c r="C99" s="239"/>
      <c r="D99" s="239"/>
      <c r="E99" s="239"/>
      <c r="F99" s="239"/>
      <c r="G99" s="239"/>
      <c r="H99" s="239"/>
      <c r="I99" s="239"/>
      <c r="J99" s="240"/>
      <c r="K99" s="749"/>
    </row>
    <row r="100" spans="1:11">
      <c r="A100" s="559" t="s">
        <v>111</v>
      </c>
      <c r="B100" s="559"/>
      <c r="C100" s="559"/>
      <c r="D100" s="559"/>
      <c r="E100" s="559"/>
      <c r="F100" s="245">
        <f>F72</f>
        <v>-28077263.681265593</v>
      </c>
      <c r="G100" s="245">
        <f t="shared" ref="G100:J100" si="15">G72</f>
        <v>-27574940.434383944</v>
      </c>
      <c r="H100" s="245">
        <f t="shared" si="15"/>
        <v>-27742169.169444855</v>
      </c>
      <c r="I100" s="245">
        <f t="shared" si="15"/>
        <v>-26672164.611926384</v>
      </c>
      <c r="J100" s="245">
        <f t="shared" si="15"/>
        <v>-28780039.292413566</v>
      </c>
      <c r="K100" s="748"/>
    </row>
    <row r="101" spans="1:11">
      <c r="A101" s="665" t="s">
        <v>112</v>
      </c>
      <c r="B101" s="665"/>
      <c r="C101" s="665"/>
      <c r="D101" s="665"/>
      <c r="E101" s="665"/>
      <c r="F101" s="231"/>
      <c r="G101" s="232"/>
      <c r="H101" s="232"/>
      <c r="I101" s="233"/>
      <c r="J101" s="237">
        <v>0</v>
      </c>
      <c r="K101" s="748"/>
    </row>
    <row r="102" spans="1:11">
      <c r="A102" s="236"/>
      <c r="B102" s="239"/>
      <c r="C102" s="239"/>
      <c r="D102" s="239"/>
      <c r="E102" s="239"/>
      <c r="F102" s="239"/>
      <c r="G102" s="239"/>
      <c r="H102" s="239"/>
      <c r="I102" s="239"/>
      <c r="J102" s="240"/>
      <c r="K102" s="749"/>
    </row>
    <row r="103" spans="1:11">
      <c r="A103" s="559" t="s">
        <v>113</v>
      </c>
      <c r="B103" s="559"/>
      <c r="C103" s="559"/>
      <c r="D103" s="559"/>
      <c r="E103" s="559"/>
      <c r="F103" s="238">
        <f>F100/(1+F98)</f>
        <v>-20248188.275203153</v>
      </c>
      <c r="G103" s="238">
        <f t="shared" ref="G103:J103" si="16">G100/(1+G98)</f>
        <v>-13007146.17013211</v>
      </c>
      <c r="H103" s="238">
        <f t="shared" si="16"/>
        <v>-7793452.2395765921</v>
      </c>
      <c r="I103" s="238">
        <f t="shared" si="16"/>
        <v>-4107960.6266594091</v>
      </c>
      <c r="J103" s="238">
        <f t="shared" si="16"/>
        <v>-2247258.3808265417</v>
      </c>
      <c r="K103" s="748"/>
    </row>
    <row r="104" spans="1:11">
      <c r="A104" s="665" t="s">
        <v>112</v>
      </c>
      <c r="B104" s="665"/>
      <c r="C104" s="665"/>
      <c r="D104" s="665"/>
      <c r="E104" s="766"/>
      <c r="F104" s="231"/>
      <c r="G104" s="232"/>
      <c r="H104" s="232"/>
      <c r="I104" s="233"/>
      <c r="J104" s="234">
        <f>J101/(1+J98)</f>
        <v>0</v>
      </c>
      <c r="K104" s="748"/>
    </row>
    <row r="105" spans="1:11">
      <c r="A105" s="231"/>
      <c r="B105" s="232"/>
      <c r="C105" s="232"/>
      <c r="D105" s="232"/>
      <c r="E105" s="232"/>
      <c r="F105" s="235"/>
      <c r="G105" s="235"/>
      <c r="H105" s="235"/>
      <c r="I105" s="235"/>
      <c r="J105" s="233"/>
      <c r="K105" s="749"/>
    </row>
    <row r="106" spans="1:11">
      <c r="A106" s="559" t="s">
        <v>189</v>
      </c>
      <c r="B106" s="559"/>
      <c r="C106" s="559"/>
      <c r="D106" s="559"/>
      <c r="E106" s="559"/>
      <c r="F106" s="91">
        <f>SUM(F103:J103)</f>
        <v>-47404005.692397803</v>
      </c>
      <c r="K106" s="748"/>
    </row>
    <row r="107" spans="1:11">
      <c r="A107" s="548" t="s">
        <v>114</v>
      </c>
      <c r="B107" s="548"/>
      <c r="C107" s="548"/>
      <c r="D107" s="548"/>
      <c r="E107" s="548"/>
      <c r="F107" s="90">
        <f>J104</f>
        <v>0</v>
      </c>
      <c r="K107" s="748"/>
    </row>
    <row r="108" spans="1:11">
      <c r="A108" s="677" t="s">
        <v>115</v>
      </c>
      <c r="B108" s="677"/>
      <c r="C108" s="677"/>
      <c r="D108" s="677"/>
      <c r="E108" s="677"/>
      <c r="F108" s="198">
        <f>F106+F107</f>
        <v>-47404005.692397803</v>
      </c>
      <c r="K108" s="748"/>
    </row>
    <row r="109" spans="1:11">
      <c r="K109" s="748"/>
    </row>
    <row r="110" spans="1:11">
      <c r="A110" s="548" t="s">
        <v>117</v>
      </c>
      <c r="B110" s="548"/>
      <c r="C110" s="548"/>
      <c r="D110" s="548"/>
      <c r="E110" s="548"/>
      <c r="F110" s="87">
        <f>F108</f>
        <v>-47404005.692397803</v>
      </c>
      <c r="K110" s="748"/>
    </row>
    <row r="111" spans="1:11">
      <c r="A111" s="741" t="s">
        <v>118</v>
      </c>
      <c r="B111" s="741"/>
      <c r="C111" s="741"/>
      <c r="D111" s="741"/>
      <c r="E111" s="741"/>
      <c r="F111" s="86">
        <f>'Analisis Financiero'!J62-'Analisis Financiero'!J57</f>
        <v>252150499</v>
      </c>
      <c r="K111" s="748"/>
    </row>
    <row r="112" spans="1:11">
      <c r="A112" s="741" t="s">
        <v>119</v>
      </c>
      <c r="B112" s="741"/>
      <c r="C112" s="741"/>
      <c r="D112" s="741"/>
      <c r="E112" s="741"/>
      <c r="F112" s="86">
        <f>'Analisis Financiero'!J40+'Analisis Financiero'!J41+'Analisis Financiero'!J42+'Analisis Financiero'!J43</f>
        <v>223257202</v>
      </c>
      <c r="K112" s="748"/>
    </row>
    <row r="113" spans="1:11">
      <c r="A113" s="741" t="s">
        <v>143</v>
      </c>
      <c r="B113" s="741"/>
      <c r="C113" s="741"/>
      <c r="D113" s="741"/>
      <c r="E113" s="741"/>
      <c r="F113" s="86">
        <f>+'Analisis Financiero'!J57+'Analisis Financiero'!J64</f>
        <v>135000000</v>
      </c>
      <c r="K113" s="748"/>
    </row>
    <row r="114" spans="1:11">
      <c r="A114" s="742" t="s">
        <v>120</v>
      </c>
      <c r="B114" s="742"/>
      <c r="C114" s="742"/>
      <c r="D114" s="742"/>
      <c r="E114" s="742"/>
      <c r="F114" s="199">
        <f>F110-F111+F112-F113</f>
        <v>-211297302.69239783</v>
      </c>
      <c r="G114" s="89"/>
      <c r="K114" s="748"/>
    </row>
    <row r="115" spans="1:11">
      <c r="F115" s="88"/>
      <c r="K115" s="748"/>
    </row>
    <row r="116" spans="1:11">
      <c r="A116" s="548" t="s">
        <v>121</v>
      </c>
      <c r="B116" s="548"/>
      <c r="C116" s="548"/>
      <c r="D116" s="548"/>
      <c r="E116" s="548"/>
      <c r="F116" s="86">
        <f>'Analisis Financiero'!J76</f>
        <v>-110209426</v>
      </c>
      <c r="K116" s="748"/>
    </row>
    <row r="117" spans="1:11">
      <c r="A117" s="40"/>
      <c r="B117" s="40"/>
      <c r="C117" s="40"/>
      <c r="D117" s="40"/>
      <c r="E117" s="40"/>
      <c r="F117" s="40"/>
      <c r="K117" s="748"/>
    </row>
    <row r="118" spans="1:11">
      <c r="A118" s="548" t="s">
        <v>124</v>
      </c>
      <c r="B118" s="548"/>
      <c r="C118" s="548"/>
      <c r="D118" s="548"/>
      <c r="E118" s="548"/>
      <c r="F118" s="7">
        <v>1000000</v>
      </c>
      <c r="G118" s="201" t="s">
        <v>126</v>
      </c>
      <c r="K118" s="748"/>
    </row>
    <row r="119" spans="1:11">
      <c r="A119" s="548" t="s">
        <v>123</v>
      </c>
      <c r="B119" s="548"/>
      <c r="C119" s="548"/>
      <c r="D119" s="548"/>
      <c r="E119" s="548"/>
      <c r="F119" s="92">
        <f>F116/F118</f>
        <v>-110.20942599999999</v>
      </c>
      <c r="K119" s="748"/>
    </row>
    <row r="120" spans="1:11">
      <c r="A120" s="548" t="s">
        <v>125</v>
      </c>
      <c r="B120" s="548"/>
      <c r="C120" s="548"/>
      <c r="D120" s="548"/>
      <c r="E120" s="548"/>
      <c r="F120" s="92">
        <f>F114/F118</f>
        <v>-211.29730269239784</v>
      </c>
      <c r="K120" s="748"/>
    </row>
    <row r="121" spans="1:11" ht="16.2" thickBot="1">
      <c r="A121" s="765" t="s">
        <v>122</v>
      </c>
      <c r="B121" s="765"/>
      <c r="C121" s="765"/>
      <c r="D121" s="765"/>
      <c r="E121" s="765"/>
      <c r="F121" s="200">
        <f>-(F120/F119)</f>
        <v>-1.9172343996456152</v>
      </c>
      <c r="K121" s="750"/>
    </row>
    <row r="124" spans="1:11" ht="15" thickBot="1"/>
    <row r="125" spans="1:11">
      <c r="A125" s="651" t="s">
        <v>128</v>
      </c>
      <c r="B125" s="652"/>
      <c r="C125" s="652"/>
      <c r="D125" s="652"/>
      <c r="E125" s="652"/>
      <c r="F125" s="652"/>
      <c r="G125" s="652"/>
      <c r="H125" s="652"/>
      <c r="I125" s="652"/>
      <c r="J125" s="653"/>
    </row>
    <row r="126" spans="1:11" ht="15" thickBot="1">
      <c r="A126" s="654"/>
      <c r="B126" s="655"/>
      <c r="C126" s="655"/>
      <c r="D126" s="655"/>
      <c r="E126" s="655"/>
      <c r="F126" s="655"/>
      <c r="G126" s="655"/>
      <c r="H126" s="655"/>
      <c r="I126" s="655"/>
      <c r="J126" s="656"/>
    </row>
    <row r="127" spans="1:11" ht="15" thickBot="1"/>
    <row r="128" spans="1:11" ht="15" customHeight="1">
      <c r="A128" s="678" t="s">
        <v>129</v>
      </c>
      <c r="B128" s="678"/>
      <c r="C128" s="678"/>
      <c r="D128" s="678"/>
      <c r="E128" s="678"/>
      <c r="F128" s="69">
        <f>F96</f>
        <v>2020</v>
      </c>
      <c r="G128" s="69">
        <f>G96</f>
        <v>2021</v>
      </c>
      <c r="H128" s="69">
        <f>H96</f>
        <v>2022</v>
      </c>
      <c r="I128" s="69">
        <f>I96</f>
        <v>2023</v>
      </c>
      <c r="J128" s="98">
        <f>J96</f>
        <v>2024</v>
      </c>
      <c r="K128" s="642" t="s">
        <v>127</v>
      </c>
    </row>
    <row r="129" spans="1:11">
      <c r="A129" s="548" t="s">
        <v>130</v>
      </c>
      <c r="B129" s="548"/>
      <c r="C129" s="548"/>
      <c r="D129" s="548"/>
      <c r="E129" s="548"/>
      <c r="F129" s="10">
        <f>'Analisis Financiero'!K54</f>
        <v>271319169.21810001</v>
      </c>
      <c r="G129" s="10">
        <f>'Analisis Financiero'!L54</f>
        <v>267150621.50223303</v>
      </c>
      <c r="H129" s="10">
        <f>'Analisis Financiero'!M54</f>
        <v>267090512.61239502</v>
      </c>
      <c r="I129" s="10">
        <f>'Analisis Financiero'!N54</f>
        <v>269707999.63599652</v>
      </c>
      <c r="J129" s="10">
        <f>'Analisis Financiero'!O54</f>
        <v>279768108.02241915</v>
      </c>
      <c r="K129" s="643"/>
    </row>
    <row r="130" spans="1:11">
      <c r="A130" s="548" t="s">
        <v>131</v>
      </c>
      <c r="B130" s="548"/>
      <c r="C130" s="548"/>
      <c r="D130" s="548"/>
      <c r="E130" s="548"/>
      <c r="F130" s="7">
        <f>'Analisis Financiero'!K69</f>
        <v>379291343.87029999</v>
      </c>
      <c r="G130" s="7">
        <f>'Analisis Financiero'!L69</f>
        <v>373463911.66307664</v>
      </c>
      <c r="H130" s="7">
        <f>'Analisis Financiero'!M69</f>
        <v>373379882.28295243</v>
      </c>
      <c r="I130" s="7">
        <f>'Analisis Financiero'!N69</f>
        <v>377039005.12932533</v>
      </c>
      <c r="J130" s="7">
        <f>'Analisis Financiero'!O69</f>
        <v>391102560.02064914</v>
      </c>
      <c r="K130" s="643"/>
    </row>
    <row r="131" spans="1:11">
      <c r="A131" s="548" t="s">
        <v>136</v>
      </c>
      <c r="B131" s="548"/>
      <c r="C131" s="548"/>
      <c r="D131" s="548"/>
      <c r="E131" s="548"/>
      <c r="F131" s="9">
        <f>F129-F130</f>
        <v>-107972174.65219998</v>
      </c>
      <c r="G131" s="9">
        <f t="shared" ref="G131:J131" si="17">G129-G130</f>
        <v>-106313290.16084361</v>
      </c>
      <c r="H131" s="9">
        <f t="shared" si="17"/>
        <v>-106289369.67055741</v>
      </c>
      <c r="I131" s="9">
        <f t="shared" si="17"/>
        <v>-107331005.49332881</v>
      </c>
      <c r="J131" s="9">
        <f t="shared" si="17"/>
        <v>-111334451.99822998</v>
      </c>
      <c r="K131" s="643"/>
    </row>
    <row r="132" spans="1:11">
      <c r="A132" s="548" t="s">
        <v>132</v>
      </c>
      <c r="B132" s="548"/>
      <c r="C132" s="548"/>
      <c r="D132" s="548"/>
      <c r="E132" s="548"/>
      <c r="F132" s="17">
        <f>F131/$F$118</f>
        <v>-107.97217465219998</v>
      </c>
      <c r="G132" s="17">
        <f t="shared" ref="G132:J132" si="18">G131/$F$118</f>
        <v>-106.31329016084361</v>
      </c>
      <c r="H132" s="17">
        <f t="shared" si="18"/>
        <v>-106.28936967055741</v>
      </c>
      <c r="I132" s="17">
        <f t="shared" si="18"/>
        <v>-107.3310054933288</v>
      </c>
      <c r="J132" s="17">
        <f t="shared" si="18"/>
        <v>-111.33445199822998</v>
      </c>
      <c r="K132" s="643"/>
    </row>
    <row r="133" spans="1:11" ht="15.6">
      <c r="A133" s="666" t="s">
        <v>122</v>
      </c>
      <c r="B133" s="667"/>
      <c r="C133" s="667"/>
      <c r="D133" s="667"/>
      <c r="E133" s="668"/>
      <c r="F133" s="200">
        <f>-(F132/$F$119)</f>
        <v>-0.9796999999999999</v>
      </c>
      <c r="G133" s="200">
        <f t="shared" ref="G133:J133" si="19">-(G132/$F$119)</f>
        <v>-0.96464788920000011</v>
      </c>
      <c r="H133" s="200">
        <f t="shared" si="19"/>
        <v>-0.96443084342493002</v>
      </c>
      <c r="I133" s="200">
        <f t="shared" si="19"/>
        <v>-0.97388226569049374</v>
      </c>
      <c r="J133" s="200">
        <f t="shared" si="19"/>
        <v>-1.0102080742007493</v>
      </c>
      <c r="K133" s="643"/>
    </row>
    <row r="134" spans="1:11" ht="9" customHeight="1">
      <c r="K134" s="643"/>
    </row>
    <row r="135" spans="1:11" ht="9" customHeight="1">
      <c r="K135" s="643"/>
    </row>
    <row r="136" spans="1:11" ht="7.5" customHeight="1">
      <c r="K136" s="643"/>
    </row>
    <row r="137" spans="1:11" ht="10.5" customHeight="1">
      <c r="K137" s="643"/>
    </row>
    <row r="138" spans="1:11">
      <c r="A138" s="678" t="s">
        <v>134</v>
      </c>
      <c r="B138" s="678"/>
      <c r="C138" s="678"/>
      <c r="D138" s="678"/>
      <c r="E138" s="678"/>
      <c r="F138" s="69">
        <f>F128</f>
        <v>2020</v>
      </c>
      <c r="G138" s="69">
        <f>G128</f>
        <v>2021</v>
      </c>
      <c r="H138" s="69">
        <f>H128</f>
        <v>2022</v>
      </c>
      <c r="I138" s="69">
        <f>I128</f>
        <v>2023</v>
      </c>
      <c r="J138" s="98">
        <f>J128</f>
        <v>2024</v>
      </c>
      <c r="K138" s="643"/>
    </row>
    <row r="139" spans="1:11">
      <c r="A139" s="548" t="s">
        <v>135</v>
      </c>
      <c r="B139" s="548"/>
      <c r="C139" s="548"/>
      <c r="D139" s="548"/>
      <c r="E139" s="548"/>
      <c r="F139" s="10">
        <f>'Analisis Financiero'!K54</f>
        <v>271319169.21810001</v>
      </c>
      <c r="G139" s="10">
        <f>'Analisis Financiero'!L54</f>
        <v>267150621.50223303</v>
      </c>
      <c r="H139" s="10">
        <f>'Analisis Financiero'!M54</f>
        <v>267090512.61239502</v>
      </c>
      <c r="I139" s="10">
        <f>'Analisis Financiero'!N54</f>
        <v>269707999.63599652</v>
      </c>
      <c r="J139" s="10">
        <f>'Analisis Financiero'!O54</f>
        <v>279768108.02241915</v>
      </c>
      <c r="K139" s="643"/>
    </row>
    <row r="140" spans="1:11">
      <c r="A140" s="548" t="s">
        <v>137</v>
      </c>
      <c r="B140" s="548"/>
      <c r="C140" s="548"/>
      <c r="D140" s="548"/>
      <c r="E140" s="548"/>
      <c r="F140" s="7">
        <f>'Analisis Financiero'!K57+'Analisis Financiero'!K64+'Analisis Financiero'!K58</f>
        <v>311679694.7518</v>
      </c>
      <c r="G140" s="7">
        <f>'Analisis Financiero'!L57+'Analisis Financiero'!L64+'Analisis Financiero'!L58</f>
        <v>306891047.9216333</v>
      </c>
      <c r="H140" s="7">
        <f>'Analisis Financiero'!M57+'Analisis Financiero'!M64+'Analisis Financiero'!M58</f>
        <v>306821997.43585086</v>
      </c>
      <c r="I140" s="7">
        <f>'Analisis Financiero'!N57+'Analisis Financiero'!N64+'Analisis Financiero'!N58</f>
        <v>309828853.01072222</v>
      </c>
      <c r="J140" s="7">
        <f>'Analisis Financiero'!O57+'Analisis Financiero'!O64+'Analisis Financiero'!O58</f>
        <v>321385469.2280221</v>
      </c>
      <c r="K140" s="643"/>
    </row>
    <row r="141" spans="1:11">
      <c r="A141" s="548" t="s">
        <v>138</v>
      </c>
      <c r="B141" s="548"/>
      <c r="C141" s="548"/>
      <c r="D141" s="548"/>
      <c r="E141" s="548"/>
      <c r="F141" s="8">
        <f>F139-F140</f>
        <v>-40360525.533699989</v>
      </c>
      <c r="G141" s="8">
        <f t="shared" ref="G141:J141" si="20">G139-G140</f>
        <v>-39740426.419400275</v>
      </c>
      <c r="H141" s="8">
        <f t="shared" si="20"/>
        <v>-39731484.82345584</v>
      </c>
      <c r="I141" s="8">
        <f t="shared" si="20"/>
        <v>-40120853.374725699</v>
      </c>
      <c r="J141" s="8">
        <f t="shared" si="20"/>
        <v>-41617361.205602944</v>
      </c>
      <c r="K141" s="643"/>
    </row>
    <row r="142" spans="1:11">
      <c r="A142" s="548" t="s">
        <v>133</v>
      </c>
      <c r="B142" s="548"/>
      <c r="C142" s="548"/>
      <c r="D142" s="548"/>
      <c r="E142" s="548"/>
      <c r="F142" s="17">
        <f>F141/$F$118</f>
        <v>-40.360525533699992</v>
      </c>
      <c r="G142" s="17">
        <f t="shared" ref="G142:J142" si="21">G141/$F$118</f>
        <v>-39.740426419400272</v>
      </c>
      <c r="H142" s="17">
        <f t="shared" si="21"/>
        <v>-39.731484823455837</v>
      </c>
      <c r="I142" s="17">
        <f t="shared" si="21"/>
        <v>-40.120853374725698</v>
      </c>
      <c r="J142" s="17">
        <f t="shared" si="21"/>
        <v>-41.617361205602947</v>
      </c>
      <c r="K142" s="643"/>
    </row>
    <row r="143" spans="1:11" ht="16.2" thickBot="1">
      <c r="A143" s="666" t="s">
        <v>122</v>
      </c>
      <c r="B143" s="667"/>
      <c r="C143" s="667"/>
      <c r="D143" s="667"/>
      <c r="E143" s="668"/>
      <c r="F143" s="200">
        <f>-(F142/$F$119)</f>
        <v>-0.36621663861764414</v>
      </c>
      <c r="G143" s="200">
        <f t="shared" ref="G143:J143" si="22">-(G142/$F$119)</f>
        <v>-0.36059008618192306</v>
      </c>
      <c r="H143" s="200">
        <f t="shared" si="22"/>
        <v>-0.36050895341253153</v>
      </c>
      <c r="I143" s="200">
        <f t="shared" si="22"/>
        <v>-0.36404194115597427</v>
      </c>
      <c r="J143" s="200">
        <f t="shared" si="22"/>
        <v>-0.37762070556109195</v>
      </c>
      <c r="K143" s="644"/>
    </row>
    <row r="144" spans="1:11" ht="9" customHeight="1"/>
    <row r="145" spans="1:11" ht="9" customHeight="1"/>
    <row r="146" spans="1:11" ht="9.75" customHeight="1"/>
    <row r="147" spans="1:11" ht="9.75" customHeight="1"/>
    <row r="149" spans="1:11" ht="15" thickBot="1"/>
    <row r="150" spans="1:11">
      <c r="A150" s="651" t="s">
        <v>139</v>
      </c>
      <c r="B150" s="652"/>
      <c r="C150" s="652"/>
      <c r="D150" s="652"/>
      <c r="E150" s="652"/>
      <c r="F150" s="652"/>
      <c r="G150" s="652"/>
      <c r="H150" s="652"/>
      <c r="I150" s="652"/>
      <c r="J150" s="653"/>
    </row>
    <row r="151" spans="1:11" ht="15" thickBot="1">
      <c r="A151" s="654"/>
      <c r="B151" s="655"/>
      <c r="C151" s="655"/>
      <c r="D151" s="655"/>
      <c r="E151" s="655"/>
      <c r="F151" s="655"/>
      <c r="G151" s="655"/>
      <c r="H151" s="655"/>
      <c r="I151" s="655"/>
      <c r="J151" s="656"/>
    </row>
    <row r="152" spans="1:11" ht="15" thickBot="1"/>
    <row r="153" spans="1:11">
      <c r="A153" s="678" t="s">
        <v>116</v>
      </c>
      <c r="B153" s="678"/>
      <c r="C153" s="678"/>
      <c r="D153" s="678"/>
      <c r="E153" s="678"/>
      <c r="F153" s="69">
        <f>F138</f>
        <v>2020</v>
      </c>
      <c r="G153" s="69">
        <f>G138</f>
        <v>2021</v>
      </c>
      <c r="H153" s="69">
        <f>H138</f>
        <v>2022</v>
      </c>
      <c r="I153" s="69">
        <f>I138</f>
        <v>2023</v>
      </c>
      <c r="J153" s="98">
        <f>J138</f>
        <v>2024</v>
      </c>
      <c r="K153" s="754" t="s">
        <v>154</v>
      </c>
    </row>
    <row r="154" spans="1:11">
      <c r="A154" s="548" t="s">
        <v>80</v>
      </c>
      <c r="B154" s="548"/>
      <c r="C154" s="548"/>
      <c r="D154" s="548"/>
      <c r="E154" s="548"/>
      <c r="F154" s="202">
        <f>+F58</f>
        <v>-36732556.393732257</v>
      </c>
      <c r="G154" s="202">
        <f t="shared" ref="G154:J154" si="23">+G58</f>
        <v>-36168197.397298954</v>
      </c>
      <c r="H154" s="202">
        <f t="shared" si="23"/>
        <v>-36160059.552884556</v>
      </c>
      <c r="I154" s="202">
        <f t="shared" si="23"/>
        <v>-36514428.136502817</v>
      </c>
      <c r="J154" s="202">
        <f t="shared" si="23"/>
        <v>-37876416.305994324</v>
      </c>
      <c r="K154" s="755"/>
    </row>
    <row r="155" spans="1:11">
      <c r="A155" s="548" t="s">
        <v>83</v>
      </c>
      <c r="B155" s="548"/>
      <c r="C155" s="548"/>
      <c r="D155" s="548"/>
      <c r="E155" s="548"/>
      <c r="F155" s="203">
        <f>+F63</f>
        <v>7776724.666666667</v>
      </c>
      <c r="G155" s="203">
        <f t="shared" ref="G155:J155" si="24">+G63</f>
        <v>7776724.666666667</v>
      </c>
      <c r="H155" s="203">
        <f t="shared" si="24"/>
        <v>7776724.666666667</v>
      </c>
      <c r="I155" s="203">
        <f t="shared" si="24"/>
        <v>9187669.5999999996</v>
      </c>
      <c r="J155" s="203">
        <f t="shared" si="24"/>
        <v>8621403.5199999996</v>
      </c>
      <c r="K155" s="755"/>
    </row>
    <row r="156" spans="1:11">
      <c r="A156" s="548" t="s">
        <v>140</v>
      </c>
      <c r="B156" s="548"/>
      <c r="C156" s="548"/>
      <c r="D156" s="548"/>
      <c r="E156" s="548"/>
      <c r="F156" s="203">
        <f>+F64</f>
        <v>638600</v>
      </c>
      <c r="G156" s="203">
        <f t="shared" ref="G156:J156" si="25">+G64</f>
        <v>638600</v>
      </c>
      <c r="H156" s="203">
        <f t="shared" si="25"/>
        <v>638600</v>
      </c>
      <c r="I156" s="203">
        <f t="shared" si="25"/>
        <v>766320</v>
      </c>
      <c r="J156" s="203">
        <f t="shared" si="25"/>
        <v>904384</v>
      </c>
      <c r="K156" s="755"/>
    </row>
    <row r="157" spans="1:11">
      <c r="A157" s="742" t="s">
        <v>30</v>
      </c>
      <c r="B157" s="742"/>
      <c r="C157" s="742"/>
      <c r="D157" s="742"/>
      <c r="E157" s="742"/>
      <c r="F157" s="202">
        <f>F154+F155+F156</f>
        <v>-28317231.727065589</v>
      </c>
      <c r="G157" s="202">
        <f t="shared" ref="G157:J157" si="26">G154+G155+G156</f>
        <v>-27752872.730632287</v>
      </c>
      <c r="H157" s="202">
        <f t="shared" si="26"/>
        <v>-27744734.886217888</v>
      </c>
      <c r="I157" s="202">
        <f t="shared" si="26"/>
        <v>-26560438.536502816</v>
      </c>
      <c r="J157" s="202">
        <f t="shared" si="26"/>
        <v>-28350628.785994325</v>
      </c>
      <c r="K157" s="755"/>
    </row>
    <row r="158" spans="1:11">
      <c r="K158" s="755"/>
    </row>
    <row r="159" spans="1:11">
      <c r="A159" s="678" t="s">
        <v>116</v>
      </c>
      <c r="B159" s="678"/>
      <c r="C159" s="678"/>
      <c r="D159" s="678"/>
      <c r="E159" s="678"/>
      <c r="F159" s="69">
        <f>F153</f>
        <v>2020</v>
      </c>
      <c r="G159" s="69">
        <f>G153</f>
        <v>2021</v>
      </c>
      <c r="H159" s="69">
        <f>H153</f>
        <v>2022</v>
      </c>
      <c r="I159" s="69">
        <f>I153</f>
        <v>2023</v>
      </c>
      <c r="J159" s="98">
        <f>J153</f>
        <v>2024</v>
      </c>
      <c r="K159" s="755"/>
    </row>
    <row r="160" spans="1:11">
      <c r="A160" s="548" t="s">
        <v>109</v>
      </c>
      <c r="B160" s="548"/>
      <c r="C160" s="548"/>
      <c r="D160" s="548"/>
      <c r="E160" s="548"/>
      <c r="F160" s="20">
        <f>F97</f>
        <v>0.38665560096802737</v>
      </c>
      <c r="G160" s="20">
        <f t="shared" ref="G160:J160" si="27">G97</f>
        <v>0.52884674184279301</v>
      </c>
      <c r="H160" s="20">
        <f t="shared" si="27"/>
        <v>0.6791054651785533</v>
      </c>
      <c r="I160" s="20">
        <f t="shared" si="27"/>
        <v>0.82398580020695888</v>
      </c>
      <c r="J160" s="20">
        <f t="shared" si="27"/>
        <v>0.97245172744026442</v>
      </c>
      <c r="K160" s="755"/>
    </row>
    <row r="161" spans="1:11">
      <c r="A161" s="665" t="s">
        <v>110</v>
      </c>
      <c r="B161" s="665"/>
      <c r="C161" s="665"/>
      <c r="D161" s="665"/>
      <c r="E161" s="665"/>
      <c r="F161" s="20">
        <f>F98</f>
        <v>0.38665560096802737</v>
      </c>
      <c r="G161" s="20">
        <f t="shared" ref="G161:J161" si="28">G98</f>
        <v>1.1199838975980287</v>
      </c>
      <c r="H161" s="20">
        <f t="shared" si="28"/>
        <v>2.5596765485473805</v>
      </c>
      <c r="I161" s="20">
        <f t="shared" si="28"/>
        <v>5.4927994778801397</v>
      </c>
      <c r="J161" s="20">
        <f t="shared" si="28"/>
        <v>11.806733546067928</v>
      </c>
      <c r="K161" s="755"/>
    </row>
    <row r="162" spans="1:11">
      <c r="A162" s="236"/>
      <c r="B162" s="239"/>
      <c r="C162" s="239"/>
      <c r="D162" s="239"/>
      <c r="E162" s="239"/>
      <c r="F162" s="239"/>
      <c r="G162" s="239"/>
      <c r="H162" s="239"/>
      <c r="I162" s="239"/>
      <c r="J162" s="240"/>
      <c r="K162" s="756"/>
    </row>
    <row r="163" spans="1:11">
      <c r="A163" s="768" t="s">
        <v>142</v>
      </c>
      <c r="B163" s="768"/>
      <c r="C163" s="768"/>
      <c r="D163" s="768"/>
      <c r="E163" s="768"/>
      <c r="F163" s="238">
        <f>+F157</f>
        <v>-28317231.727065589</v>
      </c>
      <c r="G163" s="238">
        <f t="shared" ref="G163:J163" si="29">+G157</f>
        <v>-27752872.730632287</v>
      </c>
      <c r="H163" s="238">
        <f t="shared" si="29"/>
        <v>-27744734.886217888</v>
      </c>
      <c r="I163" s="238">
        <f t="shared" si="29"/>
        <v>-26560438.536502816</v>
      </c>
      <c r="J163" s="238">
        <f t="shared" si="29"/>
        <v>-28350628.785994325</v>
      </c>
      <c r="K163" s="755"/>
    </row>
    <row r="164" spans="1:11">
      <c r="A164" s="236"/>
      <c r="B164" s="239"/>
      <c r="C164" s="239"/>
      <c r="D164" s="239"/>
      <c r="E164" s="239"/>
      <c r="F164" s="239"/>
      <c r="G164" s="239"/>
      <c r="H164" s="239"/>
      <c r="I164" s="239"/>
      <c r="J164" s="240"/>
      <c r="K164" s="756"/>
    </row>
    <row r="165" spans="1:11" ht="15.6">
      <c r="A165" s="769" t="s">
        <v>261</v>
      </c>
      <c r="B165" s="769"/>
      <c r="C165" s="769"/>
      <c r="D165" s="769"/>
      <c r="E165" s="769"/>
      <c r="F165" s="245">
        <f>F163/(1+F161)</f>
        <v>-20421243.53537913</v>
      </c>
      <c r="G165" s="245">
        <f t="shared" ref="G165:J165" si="30">G163/(1+G161)</f>
        <v>-13091077.136046493</v>
      </c>
      <c r="H165" s="245">
        <f t="shared" si="30"/>
        <v>-7794173.0120226387</v>
      </c>
      <c r="I165" s="245">
        <f t="shared" si="30"/>
        <v>-4090752.9374639858</v>
      </c>
      <c r="J165" s="245">
        <f t="shared" si="30"/>
        <v>-2213728.323776898</v>
      </c>
      <c r="K165" s="755"/>
    </row>
    <row r="166" spans="1:11">
      <c r="K166" s="755"/>
    </row>
    <row r="167" spans="1:11">
      <c r="A167" s="548" t="s">
        <v>189</v>
      </c>
      <c r="B167" s="548"/>
      <c r="C167" s="548"/>
      <c r="D167" s="548"/>
      <c r="E167" s="548"/>
      <c r="F167" s="93">
        <f>SUM(F165:J165)</f>
        <v>-47610974.944689147</v>
      </c>
      <c r="K167" s="755"/>
    </row>
    <row r="168" spans="1:11">
      <c r="K168" s="755"/>
    </row>
    <row r="169" spans="1:11">
      <c r="A169" s="548" t="s">
        <v>117</v>
      </c>
      <c r="B169" s="548"/>
      <c r="C169" s="548"/>
      <c r="D169" s="548"/>
      <c r="E169" s="548"/>
      <c r="F169" s="87">
        <f>F167</f>
        <v>-47610974.944689147</v>
      </c>
      <c r="K169" s="755"/>
    </row>
    <row r="170" spans="1:11">
      <c r="A170" s="548" t="s">
        <v>118</v>
      </c>
      <c r="B170" s="548"/>
      <c r="C170" s="548"/>
      <c r="D170" s="548"/>
      <c r="E170" s="548"/>
      <c r="F170" s="86">
        <f>F111</f>
        <v>252150499</v>
      </c>
      <c r="K170" s="755"/>
    </row>
    <row r="171" spans="1:11">
      <c r="A171" s="548" t="s">
        <v>119</v>
      </c>
      <c r="B171" s="548"/>
      <c r="C171" s="548"/>
      <c r="D171" s="548"/>
      <c r="E171" s="548"/>
      <c r="F171" s="86">
        <f t="shared" ref="F171:F172" si="31">F112</f>
        <v>223257202</v>
      </c>
      <c r="K171" s="755"/>
    </row>
    <row r="172" spans="1:11">
      <c r="A172" s="548" t="s">
        <v>143</v>
      </c>
      <c r="B172" s="548"/>
      <c r="C172" s="548"/>
      <c r="D172" s="548"/>
      <c r="E172" s="548"/>
      <c r="F172" s="86">
        <f t="shared" si="31"/>
        <v>135000000</v>
      </c>
      <c r="K172" s="755"/>
    </row>
    <row r="173" spans="1:11">
      <c r="A173" s="742" t="s">
        <v>120</v>
      </c>
      <c r="B173" s="742"/>
      <c r="C173" s="742"/>
      <c r="D173" s="742"/>
      <c r="E173" s="742"/>
      <c r="F173" s="199">
        <f>F169-F170+F171-F172</f>
        <v>-211504271.94468915</v>
      </c>
      <c r="G173" s="89"/>
      <c r="K173" s="755"/>
    </row>
    <row r="174" spans="1:11">
      <c r="F174" s="88"/>
      <c r="K174" s="755"/>
    </row>
    <row r="175" spans="1:11">
      <c r="A175" s="548" t="s">
        <v>121</v>
      </c>
      <c r="B175" s="548"/>
      <c r="C175" s="548"/>
      <c r="D175" s="548"/>
      <c r="E175" s="548"/>
      <c r="F175" s="86">
        <f>+F116</f>
        <v>-110209426</v>
      </c>
      <c r="K175" s="755"/>
    </row>
    <row r="176" spans="1:11">
      <c r="A176" s="40"/>
      <c r="B176" s="40"/>
      <c r="C176" s="40"/>
      <c r="D176" s="40"/>
      <c r="E176" s="40"/>
      <c r="F176" s="40"/>
      <c r="K176" s="755"/>
    </row>
    <row r="177" spans="1:17">
      <c r="A177" s="548" t="s">
        <v>124</v>
      </c>
      <c r="B177" s="548"/>
      <c r="C177" s="548"/>
      <c r="D177" s="548"/>
      <c r="E177" s="548"/>
      <c r="F177" s="7">
        <f>F118</f>
        <v>1000000</v>
      </c>
      <c r="G177" s="201" t="s">
        <v>126</v>
      </c>
      <c r="K177" s="755"/>
    </row>
    <row r="178" spans="1:17">
      <c r="A178" s="548" t="s">
        <v>123</v>
      </c>
      <c r="B178" s="548"/>
      <c r="C178" s="548"/>
      <c r="D178" s="548"/>
      <c r="E178" s="548"/>
      <c r="F178" s="92">
        <f>F175/F177</f>
        <v>-110.20942599999999</v>
      </c>
      <c r="K178" s="755"/>
    </row>
    <row r="179" spans="1:17">
      <c r="A179" s="548" t="s">
        <v>125</v>
      </c>
      <c r="B179" s="548"/>
      <c r="C179" s="548"/>
      <c r="D179" s="548"/>
      <c r="E179" s="548"/>
      <c r="F179" s="92">
        <f>F173/F177</f>
        <v>-211.50427194468915</v>
      </c>
      <c r="K179" s="755"/>
    </row>
    <row r="180" spans="1:17" ht="16.2" thickBot="1">
      <c r="A180" s="765" t="s">
        <v>122</v>
      </c>
      <c r="B180" s="765"/>
      <c r="C180" s="765"/>
      <c r="D180" s="765"/>
      <c r="E180" s="765"/>
      <c r="F180" s="200">
        <f>-(F179/F178)</f>
        <v>-1.9191123628997864</v>
      </c>
      <c r="G180" s="94"/>
      <c r="K180" s="757"/>
    </row>
    <row r="184" spans="1:17" ht="15" thickBot="1"/>
    <row r="185" spans="1:17" ht="15" customHeight="1">
      <c r="A185" s="651" t="s">
        <v>144</v>
      </c>
      <c r="B185" s="652"/>
      <c r="C185" s="652"/>
      <c r="D185" s="652"/>
      <c r="E185" s="652"/>
      <c r="F185" s="652"/>
      <c r="G185" s="652"/>
      <c r="H185" s="652"/>
      <c r="I185" s="652"/>
      <c r="J185" s="652"/>
      <c r="K185" s="653"/>
    </row>
    <row r="186" spans="1:17" ht="15" customHeight="1" thickBot="1">
      <c r="A186" s="654"/>
      <c r="B186" s="655"/>
      <c r="C186" s="655"/>
      <c r="D186" s="655"/>
      <c r="E186" s="655"/>
      <c r="F186" s="655"/>
      <c r="G186" s="655"/>
      <c r="H186" s="655"/>
      <c r="I186" s="655"/>
      <c r="J186" s="655"/>
      <c r="K186" s="656"/>
    </row>
    <row r="187" spans="1:17" ht="29.4" thickBot="1">
      <c r="A187" s="760" t="s">
        <v>147</v>
      </c>
      <c r="B187" s="761"/>
      <c r="C187" s="761"/>
      <c r="D187" s="761"/>
      <c r="E187" s="761"/>
      <c r="F187" s="392" t="s">
        <v>146</v>
      </c>
      <c r="G187" s="392" t="s">
        <v>148</v>
      </c>
      <c r="H187" s="392" t="s">
        <v>149</v>
      </c>
      <c r="I187" s="393" t="s">
        <v>122</v>
      </c>
      <c r="J187" s="392" t="s">
        <v>150</v>
      </c>
      <c r="K187" s="394" t="s">
        <v>151</v>
      </c>
      <c r="O187" s="204" t="s">
        <v>228</v>
      </c>
      <c r="P187" s="204" t="s">
        <v>229</v>
      </c>
      <c r="Q187" s="204" t="s">
        <v>147</v>
      </c>
    </row>
    <row r="188" spans="1:17">
      <c r="A188" s="762" t="s">
        <v>153</v>
      </c>
      <c r="B188" s="763"/>
      <c r="C188" s="763"/>
      <c r="D188" s="763"/>
      <c r="E188" s="764"/>
      <c r="F188" s="210">
        <f>+J131</f>
        <v>-111334451.99822998</v>
      </c>
      <c r="G188" s="211">
        <f>$F$175</f>
        <v>-110209426</v>
      </c>
      <c r="H188" s="211">
        <f>+F188-G188</f>
        <v>-1125025.9982299805</v>
      </c>
      <c r="I188" s="212">
        <f>-(F188/G188)</f>
        <v>-1.0102080742007493</v>
      </c>
      <c r="J188" s="212">
        <v>2.0699999999999998</v>
      </c>
      <c r="K188" s="213">
        <f>I188-J188</f>
        <v>-3.0802080742007494</v>
      </c>
      <c r="O188" s="51" t="s">
        <v>227</v>
      </c>
      <c r="P188" s="161">
        <f>+AVERAGE(F190:F191)</f>
        <v>-211400787.31854349</v>
      </c>
      <c r="Q188" s="4" t="s">
        <v>232</v>
      </c>
    </row>
    <row r="189" spans="1:17" ht="15" thickBot="1">
      <c r="A189" s="758" t="s">
        <v>152</v>
      </c>
      <c r="B189" s="742"/>
      <c r="C189" s="742"/>
      <c r="D189" s="742"/>
      <c r="E189" s="759"/>
      <c r="F189" s="214">
        <f>+J141</f>
        <v>-41617361.205602944</v>
      </c>
      <c r="G189" s="10">
        <f>$F$175</f>
        <v>-110209426</v>
      </c>
      <c r="H189" s="10">
        <f>F189-G189</f>
        <v>68592064.794397056</v>
      </c>
      <c r="I189" s="97">
        <f t="shared" ref="I189:I191" si="32">-(F189/G189)</f>
        <v>-0.3776207055610919</v>
      </c>
      <c r="J189" s="97">
        <v>2.0699999999999998</v>
      </c>
      <c r="K189" s="215">
        <f>I189-J189</f>
        <v>-2.4476207055610919</v>
      </c>
      <c r="O189" s="51" t="s">
        <v>225</v>
      </c>
      <c r="P189" s="161">
        <f>+L190</f>
        <v>-143938346.96022999</v>
      </c>
      <c r="Q189" s="4" t="s">
        <v>231</v>
      </c>
    </row>
    <row r="190" spans="1:17" ht="16.2" thickBot="1">
      <c r="A190" s="758" t="s">
        <v>30</v>
      </c>
      <c r="B190" s="742"/>
      <c r="C190" s="742"/>
      <c r="D190" s="742"/>
      <c r="E190" s="759"/>
      <c r="F190" s="216">
        <f>+F173</f>
        <v>-211504271.94468915</v>
      </c>
      <c r="G190" s="10">
        <f>$F$175</f>
        <v>-110209426</v>
      </c>
      <c r="H190" s="10">
        <f>F190-G190</f>
        <v>-101294845.94468915</v>
      </c>
      <c r="I190" s="97">
        <f t="shared" si="32"/>
        <v>-1.9191123628997864</v>
      </c>
      <c r="J190" s="97">
        <v>2.0699999999999998</v>
      </c>
      <c r="K190" s="215">
        <f>I190-J190</f>
        <v>-3.9891123628997862</v>
      </c>
      <c r="L190" s="743">
        <f>+AVERAGE(F188:F191)</f>
        <v>-143938346.96022999</v>
      </c>
      <c r="M190" s="744"/>
      <c r="N190" s="205">
        <f>+AVERAGE(I188:I191)</f>
        <v>-1.3060438855768106</v>
      </c>
      <c r="O190" s="51" t="s">
        <v>226</v>
      </c>
      <c r="P190" s="161">
        <f>+AVERAGE(F188:F189)</f>
        <v>-76475906.601916462</v>
      </c>
      <c r="Q190" s="4" t="s">
        <v>230</v>
      </c>
    </row>
    <row r="191" spans="1:17" ht="15" thickBot="1">
      <c r="A191" s="751" t="s">
        <v>145</v>
      </c>
      <c r="B191" s="752"/>
      <c r="C191" s="752"/>
      <c r="D191" s="752"/>
      <c r="E191" s="753"/>
      <c r="F191" s="217">
        <f>+F114</f>
        <v>-211297302.69239783</v>
      </c>
      <c r="G191" s="218">
        <f>$F$175</f>
        <v>-110209426</v>
      </c>
      <c r="H191" s="218">
        <f>F191-G191</f>
        <v>-101087876.69239783</v>
      </c>
      <c r="I191" s="219">
        <f t="shared" si="32"/>
        <v>-1.9172343996456149</v>
      </c>
      <c r="J191" s="219">
        <v>2.0699999999999998</v>
      </c>
      <c r="K191" s="220">
        <f>I191-J191</f>
        <v>-3.9872343996456148</v>
      </c>
      <c r="L191" s="745"/>
      <c r="M191" s="746"/>
      <c r="N191" s="206" t="s">
        <v>191</v>
      </c>
    </row>
    <row r="192" spans="1:17">
      <c r="H192" s="88"/>
    </row>
    <row r="193" spans="1:13" ht="15" thickBot="1">
      <c r="J193" s="100"/>
      <c r="M193" s="94"/>
    </row>
    <row r="194" spans="1:13">
      <c r="A194" s="762" t="s">
        <v>29</v>
      </c>
      <c r="B194" s="763"/>
      <c r="C194" s="763"/>
      <c r="D194" s="763"/>
      <c r="E194" s="770"/>
      <c r="F194" s="207">
        <f>+L190/'Analisis Financiero'!J85</f>
        <v>-9.4971323784275155E-2</v>
      </c>
    </row>
    <row r="195" spans="1:13">
      <c r="A195" s="758" t="s">
        <v>258</v>
      </c>
      <c r="B195" s="742"/>
      <c r="C195" s="742"/>
      <c r="D195" s="742"/>
      <c r="E195" s="771"/>
      <c r="F195" s="208">
        <f>L190/'Analisis Financiero'!J98</f>
        <v>0.83481727351677659</v>
      </c>
    </row>
    <row r="196" spans="1:13" ht="15" thickBot="1">
      <c r="A196" s="751" t="s">
        <v>262</v>
      </c>
      <c r="B196" s="752"/>
      <c r="C196" s="752"/>
      <c r="D196" s="752"/>
      <c r="E196" s="767"/>
      <c r="F196" s="209">
        <f>L190/('Analisis Financiero'!J98+'Analisis Financiero'!J94+'Analisis Financiero'!J97+'Analisis Financiero'!J103+'Analisis Financiero'!J104)</f>
        <v>1.2082728147845168</v>
      </c>
    </row>
    <row r="197" spans="1:13" ht="15" thickBot="1">
      <c r="A197" s="751" t="s">
        <v>263</v>
      </c>
      <c r="B197" s="752"/>
      <c r="C197" s="752"/>
      <c r="D197" s="752"/>
      <c r="E197" s="767"/>
      <c r="F197" s="209">
        <f>+L190/('Analisis Financiero'!J90+'Analisis Financiero'!J103+'Analisis Financiero'!J104)</f>
        <v>1.0469268718362628</v>
      </c>
    </row>
  </sheetData>
  <mergeCells count="137">
    <mergeCell ref="A197:E197"/>
    <mergeCell ref="A101:E101"/>
    <mergeCell ref="A179:E179"/>
    <mergeCell ref="A163:E163"/>
    <mergeCell ref="A165:E165"/>
    <mergeCell ref="A167:E167"/>
    <mergeCell ref="A142:E142"/>
    <mergeCell ref="A143:E143"/>
    <mergeCell ref="A150:J151"/>
    <mergeCell ref="A170:E170"/>
    <mergeCell ref="A171:E171"/>
    <mergeCell ref="A172:E172"/>
    <mergeCell ref="A194:E194"/>
    <mergeCell ref="A195:E195"/>
    <mergeCell ref="A196:E196"/>
    <mergeCell ref="K96:K121"/>
    <mergeCell ref="A191:E191"/>
    <mergeCell ref="A185:K186"/>
    <mergeCell ref="K153:K180"/>
    <mergeCell ref="A190:E190"/>
    <mergeCell ref="A187:E187"/>
    <mergeCell ref="A188:E188"/>
    <mergeCell ref="A189:E189"/>
    <mergeCell ref="A180:E180"/>
    <mergeCell ref="A173:E173"/>
    <mergeCell ref="A175:E175"/>
    <mergeCell ref="A177:E177"/>
    <mergeCell ref="A178:E178"/>
    <mergeCell ref="A104:E104"/>
    <mergeCell ref="A138:E138"/>
    <mergeCell ref="A139:E139"/>
    <mergeCell ref="A140:E140"/>
    <mergeCell ref="A141:E141"/>
    <mergeCell ref="A125:J126"/>
    <mergeCell ref="A128:E128"/>
    <mergeCell ref="A120:E120"/>
    <mergeCell ref="A119:E119"/>
    <mergeCell ref="A121:E121"/>
    <mergeCell ref="A118:E118"/>
    <mergeCell ref="L190:M191"/>
    <mergeCell ref="A169:E169"/>
    <mergeCell ref="A153:E153"/>
    <mergeCell ref="A154:E154"/>
    <mergeCell ref="A157:E157"/>
    <mergeCell ref="A159:E159"/>
    <mergeCell ref="A160:E160"/>
    <mergeCell ref="A161:E161"/>
    <mergeCell ref="A155:E155"/>
    <mergeCell ref="A156:E156"/>
    <mergeCell ref="F93:I93"/>
    <mergeCell ref="F90:I90"/>
    <mergeCell ref="F91:I91"/>
    <mergeCell ref="F92:I92"/>
    <mergeCell ref="A110:E110"/>
    <mergeCell ref="A111:E111"/>
    <mergeCell ref="A112:E112"/>
    <mergeCell ref="A113:E113"/>
    <mergeCell ref="A114:E114"/>
    <mergeCell ref="A107:E107"/>
    <mergeCell ref="A100:E100"/>
    <mergeCell ref="A15:E15"/>
    <mergeCell ref="A42:E42"/>
    <mergeCell ref="A44:E44"/>
    <mergeCell ref="A46:E46"/>
    <mergeCell ref="B66:E66"/>
    <mergeCell ref="A47:E47"/>
    <mergeCell ref="A49:E49"/>
    <mergeCell ref="B54:E54"/>
    <mergeCell ref="B60:E60"/>
    <mergeCell ref="B55:E55"/>
    <mergeCell ref="B70:E70"/>
    <mergeCell ref="B72:E72"/>
    <mergeCell ref="A30:E30"/>
    <mergeCell ref="A33:E33"/>
    <mergeCell ref="A34:E34"/>
    <mergeCell ref="A35:E35"/>
    <mergeCell ref="A37:E37"/>
    <mergeCell ref="A40:E40"/>
    <mergeCell ref="A41:E41"/>
    <mergeCell ref="A51:J52"/>
    <mergeCell ref="B61:E61"/>
    <mergeCell ref="B63:E63"/>
    <mergeCell ref="B64:E64"/>
    <mergeCell ref="B65:E65"/>
    <mergeCell ref="B56:E56"/>
    <mergeCell ref="B57:E57"/>
    <mergeCell ref="B58:E58"/>
    <mergeCell ref="B68:E68"/>
    <mergeCell ref="B69:E69"/>
    <mergeCell ref="A1:Q2"/>
    <mergeCell ref="A3:Q3"/>
    <mergeCell ref="A4:Q4"/>
    <mergeCell ref="A5:Q5"/>
    <mergeCell ref="A6:Q6"/>
    <mergeCell ref="I8:N8"/>
    <mergeCell ref="A27:E27"/>
    <mergeCell ref="A20:E20"/>
    <mergeCell ref="A21:E21"/>
    <mergeCell ref="A22:E22"/>
    <mergeCell ref="A24:E24"/>
    <mergeCell ref="A25:E25"/>
    <mergeCell ref="G10:G15"/>
    <mergeCell ref="G17:G18"/>
    <mergeCell ref="G20:G25"/>
    <mergeCell ref="A18:F18"/>
    <mergeCell ref="A17:E17"/>
    <mergeCell ref="A10:E10"/>
    <mergeCell ref="A9:E9"/>
    <mergeCell ref="A11:E11"/>
    <mergeCell ref="A12:E12"/>
    <mergeCell ref="A7:F7"/>
    <mergeCell ref="A8:F8"/>
    <mergeCell ref="A14:E14"/>
    <mergeCell ref="A74:D74"/>
    <mergeCell ref="K128:K143"/>
    <mergeCell ref="K85:L87"/>
    <mergeCell ref="A75:J76"/>
    <mergeCell ref="F80:I80"/>
    <mergeCell ref="F81:I81"/>
    <mergeCell ref="K90:L93"/>
    <mergeCell ref="A97:E97"/>
    <mergeCell ref="A98:E98"/>
    <mergeCell ref="A133:E133"/>
    <mergeCell ref="A129:E129"/>
    <mergeCell ref="A130:E130"/>
    <mergeCell ref="A131:E131"/>
    <mergeCell ref="A116:E116"/>
    <mergeCell ref="A132:E132"/>
    <mergeCell ref="F87:I87"/>
    <mergeCell ref="F85:I85"/>
    <mergeCell ref="F86:I86"/>
    <mergeCell ref="F89:I89"/>
    <mergeCell ref="A108:E108"/>
    <mergeCell ref="A103:E103"/>
    <mergeCell ref="F84:I84"/>
    <mergeCell ref="A96:E96"/>
    <mergeCell ref="A106:E10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>
    <tabColor rgb="FFFF6600"/>
  </sheetPr>
  <dimension ref="A1:Q40"/>
  <sheetViews>
    <sheetView topLeftCell="A13" zoomScale="80" zoomScaleNormal="80" workbookViewId="0">
      <selection activeCell="A25" sqref="A25:I28"/>
    </sheetView>
  </sheetViews>
  <sheetFormatPr baseColWidth="10" defaultColWidth="11.44140625" defaultRowHeight="14.4"/>
  <cols>
    <col min="1" max="4" width="11.44140625" style="1"/>
    <col min="5" max="5" width="14.6640625" style="1" customWidth="1"/>
    <col min="6" max="6" width="14.88671875" style="1" customWidth="1"/>
    <col min="7" max="7" width="16" style="2" customWidth="1"/>
    <col min="8" max="8" width="14.88671875" style="1" customWidth="1"/>
    <col min="9" max="9" width="14.5546875" style="1" customWidth="1"/>
    <col min="10" max="10" width="15.44140625" style="1" customWidth="1"/>
    <col min="11" max="16384" width="11.44140625" style="1"/>
  </cols>
  <sheetData>
    <row r="1" spans="1:17">
      <c r="A1" s="651" t="s">
        <v>156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  <c r="Q1" s="653"/>
    </row>
    <row r="2" spans="1:17" ht="15" thickBot="1">
      <c r="A2" s="654"/>
      <c r="B2" s="655"/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/>
      <c r="P2" s="655"/>
      <c r="Q2" s="656"/>
    </row>
    <row r="3" spans="1:17" ht="22.8">
      <c r="A3" s="585" t="s">
        <v>373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7"/>
    </row>
    <row r="4" spans="1:17">
      <c r="A4" s="542" t="s">
        <v>41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88"/>
    </row>
    <row r="5" spans="1:17">
      <c r="A5" s="542" t="s">
        <v>3</v>
      </c>
      <c r="B5" s="543"/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88"/>
    </row>
    <row r="6" spans="1:17" ht="15" thickBot="1">
      <c r="A6" s="599" t="s">
        <v>2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1"/>
    </row>
    <row r="7" spans="1:17" ht="15" customHeight="1">
      <c r="A7" s="778" t="s">
        <v>160</v>
      </c>
      <c r="B7" s="779"/>
      <c r="C7" s="779"/>
      <c r="D7" s="779"/>
      <c r="E7" s="779"/>
      <c r="F7" s="779"/>
      <c r="G7" s="779"/>
      <c r="H7" s="779"/>
      <c r="I7" s="779"/>
      <c r="J7" s="779"/>
      <c r="K7" s="779"/>
      <c r="L7" s="779"/>
      <c r="M7" s="779"/>
      <c r="N7" s="779"/>
      <c r="O7" s="779"/>
      <c r="P7" s="779"/>
      <c r="Q7" s="780"/>
    </row>
    <row r="8" spans="1:17" ht="15.75" customHeight="1" thickBot="1">
      <c r="A8" s="781"/>
      <c r="B8" s="782"/>
      <c r="C8" s="782"/>
      <c r="D8" s="782"/>
      <c r="E8" s="782"/>
      <c r="F8" s="782"/>
      <c r="G8" s="782"/>
      <c r="H8" s="782"/>
      <c r="I8" s="782"/>
      <c r="J8" s="782"/>
      <c r="K8" s="782"/>
      <c r="L8" s="782"/>
      <c r="M8" s="782"/>
      <c r="N8" s="782"/>
      <c r="O8" s="782"/>
      <c r="P8" s="782"/>
      <c r="Q8" s="783"/>
    </row>
    <row r="9" spans="1:17" ht="18" thickBot="1">
      <c r="A9" s="775" t="s">
        <v>376</v>
      </c>
      <c r="B9" s="776"/>
      <c r="C9" s="776"/>
      <c r="D9" s="777"/>
      <c r="G9" s="1"/>
    </row>
    <row r="10" spans="1:17">
      <c r="A10" s="784" t="s">
        <v>265</v>
      </c>
      <c r="B10" s="785"/>
      <c r="C10" s="785"/>
      <c r="D10" s="786"/>
      <c r="E10" s="69">
        <f>'Analisis Financiero'!K83</f>
        <v>2020</v>
      </c>
      <c r="F10" s="69">
        <f>'Valoración Sin Estrategia'!G54</f>
        <v>2021</v>
      </c>
      <c r="G10" s="69">
        <f>'Valoración Sin Estrategia'!H54</f>
        <v>2022</v>
      </c>
      <c r="H10" s="69">
        <f>'Valoración Sin Estrategia'!I54</f>
        <v>2023</v>
      </c>
      <c r="I10" s="69">
        <f>'Valoración Sin Estrategia'!J54</f>
        <v>2024</v>
      </c>
      <c r="J10" s="69" t="s">
        <v>158</v>
      </c>
    </row>
    <row r="11" spans="1:17">
      <c r="A11" s="787" t="s">
        <v>157</v>
      </c>
      <c r="B11" s="787"/>
      <c r="C11" s="787"/>
      <c r="D11" s="787"/>
      <c r="E11" s="246">
        <v>0.03</v>
      </c>
      <c r="F11" s="246">
        <v>3.5000000000000003E-2</v>
      </c>
      <c r="G11" s="246"/>
      <c r="H11" s="246"/>
      <c r="I11" s="246"/>
      <c r="J11" s="103">
        <f>SUM(E11:I11)</f>
        <v>6.5000000000000002E-2</v>
      </c>
    </row>
    <row r="12" spans="1:17">
      <c r="A12" s="787" t="s">
        <v>159</v>
      </c>
      <c r="B12" s="787"/>
      <c r="C12" s="787"/>
      <c r="D12" s="787"/>
      <c r="E12" s="247">
        <f>+E11*'Analisis Financiero'!K86</f>
        <v>28423506.527417529</v>
      </c>
      <c r="F12" s="247">
        <f>+F11*'Analisis Financiero'!L86</f>
        <v>32651275.735318668</v>
      </c>
      <c r="G12" s="247"/>
      <c r="H12" s="247"/>
      <c r="I12" s="247"/>
      <c r="J12" s="104">
        <f>SUM(E12:I12)</f>
        <v>61074782.262736201</v>
      </c>
    </row>
    <row r="13" spans="1:17">
      <c r="G13" s="1"/>
      <c r="J13" s="18"/>
    </row>
    <row r="14" spans="1:17">
      <c r="G14" s="1"/>
      <c r="I14" s="18"/>
    </row>
    <row r="15" spans="1:17">
      <c r="A15" s="772" t="s">
        <v>168</v>
      </c>
      <c r="B15" s="773"/>
      <c r="C15" s="773"/>
      <c r="D15" s="774"/>
      <c r="E15" s="69">
        <f>E10</f>
        <v>2020</v>
      </c>
      <c r="F15" s="69">
        <f>F10</f>
        <v>2021</v>
      </c>
      <c r="G15" s="69">
        <f>G10</f>
        <v>2022</v>
      </c>
      <c r="H15" s="69">
        <f>H10</f>
        <v>2023</v>
      </c>
      <c r="I15" s="69">
        <f>I10</f>
        <v>2024</v>
      </c>
      <c r="J15" s="69" t="s">
        <v>158</v>
      </c>
    </row>
    <row r="16" spans="1:17">
      <c r="A16" s="787" t="s">
        <v>161</v>
      </c>
      <c r="B16" s="787"/>
      <c r="C16" s="787"/>
      <c r="D16" s="787"/>
      <c r="E16" s="246">
        <v>2.5000000000000001E-2</v>
      </c>
      <c r="F16" s="246">
        <v>3.1E-2</v>
      </c>
      <c r="G16" s="246"/>
      <c r="H16" s="246"/>
      <c r="I16" s="246"/>
      <c r="J16" s="103">
        <f>SUM(E16:I16)</f>
        <v>5.6000000000000001E-2</v>
      </c>
    </row>
    <row r="17" spans="1:13">
      <c r="A17" s="787" t="s">
        <v>163</v>
      </c>
      <c r="B17" s="787"/>
      <c r="C17" s="787"/>
      <c r="D17" s="787"/>
      <c r="E17" s="247">
        <f>E16*'Analisis Financiero'!K88</f>
        <v>10917391.274330497</v>
      </c>
      <c r="F17" s="247">
        <f>F16*'Analisis Financiero'!L88</f>
        <v>13329574.028741686</v>
      </c>
      <c r="G17" s="247"/>
      <c r="H17" s="247"/>
      <c r="I17" s="247"/>
      <c r="J17" s="104">
        <f>SUM(E17:I17)</f>
        <v>24246965.303072184</v>
      </c>
    </row>
    <row r="18" spans="1:13">
      <c r="G18" s="1"/>
      <c r="J18" s="18"/>
    </row>
    <row r="19" spans="1:13">
      <c r="G19" s="1"/>
    </row>
    <row r="20" spans="1:13">
      <c r="A20" s="772" t="s">
        <v>169</v>
      </c>
      <c r="B20" s="773"/>
      <c r="C20" s="773"/>
      <c r="D20" s="774"/>
      <c r="E20" s="69">
        <f>E15</f>
        <v>2020</v>
      </c>
      <c r="F20" s="69">
        <f>F15</f>
        <v>2021</v>
      </c>
      <c r="G20" s="69">
        <f>G15</f>
        <v>2022</v>
      </c>
      <c r="H20" s="69">
        <f>H15</f>
        <v>2023</v>
      </c>
      <c r="I20" s="69">
        <f>I15</f>
        <v>2024</v>
      </c>
      <c r="J20" s="69" t="s">
        <v>158</v>
      </c>
    </row>
    <row r="21" spans="1:13">
      <c r="A21" s="787" t="s">
        <v>162</v>
      </c>
      <c r="B21" s="787"/>
      <c r="C21" s="787"/>
      <c r="D21" s="787"/>
      <c r="E21" s="283">
        <v>1.15E-2</v>
      </c>
      <c r="F21" s="283">
        <v>1.15E-2</v>
      </c>
      <c r="G21" s="283"/>
      <c r="H21" s="283"/>
      <c r="I21" s="283"/>
      <c r="J21" s="103">
        <f>SUM(E21:I21)</f>
        <v>2.3E-2</v>
      </c>
    </row>
    <row r="22" spans="1:13">
      <c r="A22" s="787" t="s">
        <v>164</v>
      </c>
      <c r="B22" s="787"/>
      <c r="C22" s="787"/>
      <c r="D22" s="787"/>
      <c r="E22" s="247">
        <f>E21*'Analisis Financiero'!K89</f>
        <v>1673375.0654825976</v>
      </c>
      <c r="F22" s="247">
        <f>F21*'Analisis Financiero'!L89</f>
        <v>1647665.3309765228</v>
      </c>
      <c r="G22" s="247"/>
      <c r="H22" s="247"/>
      <c r="I22" s="247"/>
      <c r="J22" s="104">
        <f>SUM(E22:I22)</f>
        <v>3321040.3964591203</v>
      </c>
    </row>
    <row r="23" spans="1:13">
      <c r="A23" s="1" t="s">
        <v>233</v>
      </c>
      <c r="E23" s="282"/>
      <c r="F23" s="282"/>
      <c r="G23" s="282"/>
      <c r="H23" s="282"/>
      <c r="I23" s="282"/>
    </row>
    <row r="24" spans="1:13">
      <c r="G24" s="1"/>
    </row>
    <row r="25" spans="1:13">
      <c r="A25" s="772" t="s">
        <v>170</v>
      </c>
      <c r="B25" s="773"/>
      <c r="C25" s="773"/>
      <c r="D25" s="774"/>
      <c r="E25" s="515" t="s">
        <v>407</v>
      </c>
      <c r="F25" s="515" t="s">
        <v>403</v>
      </c>
      <c r="G25" s="515" t="s">
        <v>408</v>
      </c>
      <c r="H25" s="515" t="s">
        <v>405</v>
      </c>
      <c r="I25" s="515" t="s">
        <v>409</v>
      </c>
    </row>
    <row r="26" spans="1:13">
      <c r="A26" s="787" t="s">
        <v>165</v>
      </c>
      <c r="B26" s="787"/>
      <c r="C26" s="787"/>
      <c r="D26" s="787"/>
      <c r="E26" s="247">
        <f>'Analisis Financiero'!K86-'Estrategias Operativas'!E12</f>
        <v>919026711.05316687</v>
      </c>
      <c r="F26" s="247">
        <v>872255508.92922711</v>
      </c>
      <c r="G26" s="247">
        <f>G36*$F$38</f>
        <v>872059251.43971789</v>
      </c>
      <c r="H26" s="247">
        <f t="shared" ref="H26:I26" si="0">H36*$F$38</f>
        <v>898217540.74590373</v>
      </c>
      <c r="I26" s="247">
        <f t="shared" si="0"/>
        <v>955014081.39111888</v>
      </c>
    </row>
    <row r="27" spans="1:13">
      <c r="A27" s="787" t="s">
        <v>166</v>
      </c>
      <c r="B27" s="787"/>
      <c r="C27" s="787"/>
      <c r="D27" s="787"/>
      <c r="E27" s="247">
        <f>'Analisis Financiero'!K88-'Estrategias Operativas'!E17</f>
        <v>425778259.69888937</v>
      </c>
      <c r="F27" s="247">
        <v>405907028.48813397</v>
      </c>
      <c r="G27" s="247">
        <f>G36*$F$39</f>
        <v>405815699.4067241</v>
      </c>
      <c r="H27" s="247">
        <f t="shared" ref="H27:I27" si="1">H36*$F$39</f>
        <v>417988547.12612826</v>
      </c>
      <c r="I27" s="247">
        <f t="shared" si="1"/>
        <v>444419007.93228108</v>
      </c>
    </row>
    <row r="28" spans="1:13">
      <c r="A28" s="787" t="s">
        <v>167</v>
      </c>
      <c r="B28" s="787"/>
      <c r="C28" s="787"/>
      <c r="D28" s="787"/>
      <c r="E28" s="247">
        <f>'Analisis Financiero'!K89-'Estrategias Operativas'!E22</f>
        <v>143837500.19387373</v>
      </c>
      <c r="F28" s="247">
        <v>139979915.50991854</v>
      </c>
      <c r="G28" s="247">
        <f>G36*$F$40</f>
        <v>139948420.02892879</v>
      </c>
      <c r="H28" s="247">
        <f t="shared" ref="H28:I28" si="2">H36*$F$40</f>
        <v>144146312.83611655</v>
      </c>
      <c r="I28" s="247">
        <f t="shared" si="2"/>
        <v>153261044.56252629</v>
      </c>
    </row>
    <row r="29" spans="1:13">
      <c r="G29" s="1"/>
    </row>
    <row r="30" spans="1:13" ht="15" thickBot="1">
      <c r="G30" s="1"/>
    </row>
    <row r="31" spans="1:13" ht="18" thickBot="1">
      <c r="A31" s="775" t="s">
        <v>171</v>
      </c>
      <c r="B31" s="776"/>
      <c r="C31" s="776"/>
      <c r="D31" s="777"/>
      <c r="E31" s="69" t="str">
        <f>E25</f>
        <v>Añ0 1</v>
      </c>
      <c r="F31" s="69" t="str">
        <f>F25</f>
        <v>Año 2</v>
      </c>
      <c r="G31" s="69" t="str">
        <f>G25</f>
        <v>Añ0 3</v>
      </c>
      <c r="H31" s="69" t="str">
        <f>H25</f>
        <v>Año 4</v>
      </c>
      <c r="I31" s="69" t="str">
        <f>I25</f>
        <v>Añ0 5</v>
      </c>
    </row>
    <row r="32" spans="1:13">
      <c r="A32" s="787" t="s">
        <v>173</v>
      </c>
      <c r="B32" s="787"/>
      <c r="C32" s="787"/>
      <c r="D32" s="787"/>
      <c r="E32" s="20">
        <f>'Analisis Financiero'!K29</f>
        <v>-2.0299999999999985E-2</v>
      </c>
      <c r="F32" s="20">
        <f>'Analisis Financiero'!L29</f>
        <v>-1.5364000000000155E-2</v>
      </c>
      <c r="G32" s="20">
        <f>'Analisis Financiero'!M29</f>
        <v>-2.2500000000014175E-4</v>
      </c>
      <c r="H32" s="20">
        <f>'Analisis Financiero'!N29</f>
        <v>9.8000000000000309E-3</v>
      </c>
      <c r="I32" s="20">
        <f>'Analisis Financiero'!O29</f>
        <v>3.7299999999999889E-2</v>
      </c>
      <c r="K32" s="18"/>
      <c r="L32" s="18"/>
      <c r="M32" s="18"/>
    </row>
    <row r="33" spans="1:13">
      <c r="A33" s="772" t="s">
        <v>172</v>
      </c>
      <c r="B33" s="773"/>
      <c r="C33" s="773"/>
      <c r="D33" s="774"/>
      <c r="E33" s="69" t="str">
        <f>E25</f>
        <v>Añ0 1</v>
      </c>
      <c r="F33" s="69" t="str">
        <f>F25</f>
        <v>Año 2</v>
      </c>
      <c r="G33" s="69" t="str">
        <f>G25</f>
        <v>Añ0 3</v>
      </c>
      <c r="H33" s="69" t="str">
        <f>H25</f>
        <v>Año 4</v>
      </c>
      <c r="I33" s="69" t="str">
        <f>I25</f>
        <v>Añ0 5</v>
      </c>
      <c r="J33" s="69" t="s">
        <v>158</v>
      </c>
      <c r="K33" s="290"/>
      <c r="L33" s="290"/>
      <c r="M33" s="290"/>
    </row>
    <row r="34" spans="1:13">
      <c r="A34" s="787" t="s">
        <v>174</v>
      </c>
      <c r="B34" s="787"/>
      <c r="C34" s="787"/>
      <c r="D34" s="787"/>
      <c r="E34" s="246">
        <v>0</v>
      </c>
      <c r="F34" s="246">
        <v>0</v>
      </c>
      <c r="G34" s="246">
        <v>0</v>
      </c>
      <c r="H34" s="246">
        <v>0.02</v>
      </c>
      <c r="I34" s="246">
        <v>2.5000000000000001E-2</v>
      </c>
      <c r="J34" s="103">
        <f>SUM(E34:I34)</f>
        <v>4.4999999999999998E-2</v>
      </c>
      <c r="K34" s="18"/>
      <c r="L34" s="18"/>
      <c r="M34" s="18"/>
    </row>
    <row r="35" spans="1:13">
      <c r="A35" s="787" t="s">
        <v>175</v>
      </c>
      <c r="B35" s="787"/>
      <c r="C35" s="787"/>
      <c r="D35" s="787"/>
      <c r="E35" s="248">
        <f>(E32+1)*(1+E34)-1</f>
        <v>-2.0299999999999985E-2</v>
      </c>
      <c r="F35" s="248">
        <f t="shared" ref="F35:I35" si="3">(F32+1)*(1+F34)-1</f>
        <v>-1.5364000000000155E-2</v>
      </c>
      <c r="G35" s="248">
        <f t="shared" si="3"/>
        <v>-2.2500000000014175E-4</v>
      </c>
      <c r="H35" s="248">
        <f t="shared" si="3"/>
        <v>2.9996000000000134E-2</v>
      </c>
      <c r="I35" s="248">
        <f t="shared" si="3"/>
        <v>6.3232499999999803E-2</v>
      </c>
      <c r="J35" s="103">
        <f>SUM(E35:I35)</f>
        <v>5.7339499999999655E-2</v>
      </c>
      <c r="K35" s="18"/>
    </row>
    <row r="36" spans="1:13">
      <c r="A36" s="787" t="s">
        <v>176</v>
      </c>
      <c r="B36" s="787"/>
      <c r="C36" s="787"/>
      <c r="D36" s="787"/>
      <c r="E36" s="275">
        <f>'Analisis Financiero'!J85*(1+'Estrategias Operativas'!E35)</f>
        <v>1484831345.9045</v>
      </c>
      <c r="F36" s="275">
        <f>E36*(1+F35)</f>
        <v>1462018397.1060231</v>
      </c>
      <c r="G36" s="275">
        <f t="shared" ref="G36:I36" si="4">F36*(1+G35)</f>
        <v>1461689442.9666741</v>
      </c>
      <c r="H36" s="275">
        <f t="shared" si="4"/>
        <v>1505534279.4979026</v>
      </c>
      <c r="I36" s="275">
        <f t="shared" si="4"/>
        <v>1600732975.8262534</v>
      </c>
    </row>
    <row r="37" spans="1:13">
      <c r="F37" s="121"/>
      <c r="G37" s="121"/>
      <c r="H37" s="121"/>
      <c r="I37" s="281"/>
    </row>
    <row r="38" spans="1:13">
      <c r="E38" s="516">
        <f>E26/E36</f>
        <v>0.61894350061240955</v>
      </c>
      <c r="F38" s="516">
        <f>F26/F36</f>
        <v>0.59661048770371428</v>
      </c>
      <c r="G38" s="1"/>
    </row>
    <row r="39" spans="1:13">
      <c r="E39" s="516">
        <f>E27/E36</f>
        <v>0.28675193372855573</v>
      </c>
      <c r="F39" s="516">
        <f>F27/F36</f>
        <v>0.27763469275872477</v>
      </c>
    </row>
    <row r="40" spans="1:13">
      <c r="E40" s="516">
        <f>E28/E36</f>
        <v>9.6871271333683812E-2</v>
      </c>
      <c r="F40" s="516">
        <f>F28/F36</f>
        <v>9.5744291444622251E-2</v>
      </c>
    </row>
  </sheetData>
  <mergeCells count="26">
    <mergeCell ref="A35:D35"/>
    <mergeCell ref="A32:D32"/>
    <mergeCell ref="A36:D36"/>
    <mergeCell ref="A28:D28"/>
    <mergeCell ref="A31:D31"/>
    <mergeCell ref="A33:D33"/>
    <mergeCell ref="A34:D34"/>
    <mergeCell ref="A25:D25"/>
    <mergeCell ref="A26:D26"/>
    <mergeCell ref="A27:D27"/>
    <mergeCell ref="A16:D16"/>
    <mergeCell ref="A17:D17"/>
    <mergeCell ref="A20:D20"/>
    <mergeCell ref="A21:D21"/>
    <mergeCell ref="A22:D22"/>
    <mergeCell ref="A15:D15"/>
    <mergeCell ref="A1:Q2"/>
    <mergeCell ref="A3:Q3"/>
    <mergeCell ref="A4:Q4"/>
    <mergeCell ref="A5:Q5"/>
    <mergeCell ref="A6:Q6"/>
    <mergeCell ref="A9:D9"/>
    <mergeCell ref="A7:Q8"/>
    <mergeCell ref="A10:D10"/>
    <mergeCell ref="A11:D11"/>
    <mergeCell ref="A12:D12"/>
  </mergeCells>
  <phoneticPr fontId="73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00B0F0"/>
  </sheetPr>
  <dimension ref="A1:AI262"/>
  <sheetViews>
    <sheetView topLeftCell="A190" zoomScale="70" zoomScaleNormal="70" workbookViewId="0">
      <selection activeCell="A216" sqref="A216"/>
    </sheetView>
  </sheetViews>
  <sheetFormatPr baseColWidth="10" defaultColWidth="11.44140625" defaultRowHeight="14.4"/>
  <cols>
    <col min="1" max="1" width="18.88671875" style="1" customWidth="1"/>
    <col min="2" max="2" width="15.77734375" style="1" customWidth="1"/>
    <col min="3" max="4" width="16.88671875" style="1" bestFit="1" customWidth="1"/>
    <col min="5" max="5" width="19.109375" style="1" bestFit="1" customWidth="1"/>
    <col min="6" max="6" width="16.88671875" style="1" customWidth="1"/>
    <col min="7" max="7" width="17.6640625" style="1" customWidth="1"/>
    <col min="8" max="8" width="15.88671875" style="1" customWidth="1"/>
    <col min="9" max="10" width="16.6640625" style="1" bestFit="1" customWidth="1"/>
    <col min="11" max="11" width="18.5546875" style="1" customWidth="1"/>
    <col min="12" max="15" width="16.6640625" style="1" bestFit="1" customWidth="1"/>
    <col min="16" max="16" width="11.44140625" style="1" customWidth="1"/>
    <col min="17" max="17" width="27.88671875" style="1" customWidth="1"/>
    <col min="18" max="18" width="22.109375" style="1" bestFit="1" customWidth="1"/>
    <col min="19" max="22" width="12.33203125" style="1" bestFit="1" customWidth="1"/>
    <col min="23" max="23" width="14.6640625" style="1" customWidth="1"/>
    <col min="24" max="24" width="13.88671875" style="1" customWidth="1"/>
    <col min="25" max="25" width="15.33203125" style="1" customWidth="1"/>
    <col min="26" max="26" width="13.5546875" style="1" customWidth="1"/>
    <col min="27" max="27" width="14.109375" style="1" customWidth="1"/>
    <col min="28" max="34" width="11.44140625" style="1"/>
    <col min="35" max="35" width="24.88671875" style="1" customWidth="1"/>
    <col min="36" max="16384" width="11.44140625" style="1"/>
  </cols>
  <sheetData>
    <row r="1" spans="1:28">
      <c r="A1" s="790" t="s">
        <v>0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1"/>
      <c r="N1" s="791"/>
      <c r="O1" s="791"/>
      <c r="P1" s="792"/>
    </row>
    <row r="2" spans="1:28">
      <c r="A2" s="793"/>
      <c r="B2" s="794"/>
      <c r="C2" s="794"/>
      <c r="D2" s="794"/>
      <c r="E2" s="794"/>
      <c r="F2" s="794"/>
      <c r="G2" s="794"/>
      <c r="H2" s="794"/>
      <c r="I2" s="794"/>
      <c r="J2" s="794"/>
      <c r="K2" s="794"/>
      <c r="L2" s="794"/>
      <c r="M2" s="794"/>
      <c r="N2" s="794"/>
      <c r="O2" s="794"/>
      <c r="P2" s="795"/>
    </row>
    <row r="3" spans="1:28">
      <c r="A3" s="793"/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5"/>
    </row>
    <row r="4" spans="1:28">
      <c r="A4" s="793"/>
      <c r="B4" s="794"/>
      <c r="C4" s="794"/>
      <c r="D4" s="794"/>
      <c r="E4" s="794"/>
      <c r="F4" s="794"/>
      <c r="G4" s="794"/>
      <c r="H4" s="794"/>
      <c r="I4" s="794"/>
      <c r="J4" s="794"/>
      <c r="K4" s="794"/>
      <c r="L4" s="794"/>
      <c r="M4" s="794"/>
      <c r="N4" s="794"/>
      <c r="O4" s="794"/>
      <c r="P4" s="795"/>
    </row>
    <row r="5" spans="1:28">
      <c r="A5" s="793"/>
      <c r="B5" s="794"/>
      <c r="C5" s="794"/>
      <c r="D5" s="794"/>
      <c r="E5" s="794"/>
      <c r="F5" s="794"/>
      <c r="G5" s="794"/>
      <c r="H5" s="794"/>
      <c r="I5" s="794"/>
      <c r="J5" s="794"/>
      <c r="K5" s="794"/>
      <c r="L5" s="794"/>
      <c r="M5" s="794"/>
      <c r="N5" s="794"/>
      <c r="O5" s="794"/>
      <c r="P5" s="795"/>
    </row>
    <row r="6" spans="1:28" ht="15" thickBot="1">
      <c r="A6" s="149">
        <f>'Cifras Historicas'!A6</f>
        <v>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1"/>
    </row>
    <row r="8" spans="1:28" ht="15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28">
      <c r="A9" s="796" t="s">
        <v>39</v>
      </c>
      <c r="B9" s="797"/>
      <c r="C9" s="797"/>
      <c r="D9" s="797"/>
      <c r="E9" s="797"/>
      <c r="F9" s="797"/>
      <c r="G9" s="797"/>
      <c r="H9" s="797"/>
      <c r="I9" s="797"/>
      <c r="J9" s="797"/>
      <c r="K9" s="797"/>
      <c r="L9" s="797"/>
      <c r="M9" s="797"/>
      <c r="N9" s="797"/>
      <c r="O9" s="797"/>
      <c r="P9" s="798"/>
    </row>
    <row r="10" spans="1:28" ht="15" thickBot="1">
      <c r="A10" s="799"/>
      <c r="B10" s="800"/>
      <c r="C10" s="800"/>
      <c r="D10" s="800"/>
      <c r="E10" s="800"/>
      <c r="F10" s="800"/>
      <c r="G10" s="800"/>
      <c r="H10" s="800"/>
      <c r="I10" s="800"/>
      <c r="J10" s="800"/>
      <c r="K10" s="800"/>
      <c r="L10" s="800"/>
      <c r="M10" s="800"/>
      <c r="N10" s="800"/>
      <c r="O10" s="800"/>
      <c r="P10" s="801"/>
    </row>
    <row r="11" spans="1:28" ht="22.8">
      <c r="A11" s="585" t="s">
        <v>373</v>
      </c>
      <c r="B11" s="586"/>
      <c r="C11" s="586"/>
      <c r="D11" s="586"/>
      <c r="E11" s="586"/>
      <c r="F11" s="586"/>
      <c r="G11" s="586"/>
      <c r="H11" s="586"/>
      <c r="I11" s="586"/>
      <c r="J11" s="586"/>
      <c r="K11" s="586"/>
      <c r="L11" s="586"/>
      <c r="M11" s="586"/>
      <c r="N11" s="586"/>
      <c r="O11" s="586"/>
      <c r="P11" s="587"/>
    </row>
    <row r="12" spans="1:28">
      <c r="A12" s="542" t="s">
        <v>26</v>
      </c>
      <c r="B12" s="543"/>
      <c r="C12" s="543"/>
      <c r="D12" s="543"/>
      <c r="E12" s="543"/>
      <c r="F12" s="543"/>
      <c r="G12" s="543"/>
      <c r="H12" s="543"/>
      <c r="I12" s="543"/>
      <c r="J12" s="543"/>
      <c r="K12" s="543"/>
      <c r="L12" s="543"/>
      <c r="M12" s="543"/>
      <c r="N12" s="543"/>
      <c r="O12" s="543"/>
      <c r="P12" s="588"/>
    </row>
    <row r="13" spans="1:28" ht="15" thickBot="1">
      <c r="A13" s="542" t="s">
        <v>3</v>
      </c>
      <c r="B13" s="543"/>
      <c r="C13" s="543"/>
      <c r="D13" s="543"/>
      <c r="E13" s="543"/>
      <c r="F13" s="543"/>
      <c r="G13" s="543"/>
      <c r="H13" s="543"/>
      <c r="I13" s="543"/>
      <c r="J13" s="543"/>
      <c r="K13" s="543"/>
      <c r="L13" s="543"/>
      <c r="M13" s="543"/>
      <c r="N13" s="543"/>
      <c r="O13" s="543"/>
      <c r="P13" s="588"/>
    </row>
    <row r="14" spans="1:28" ht="22.2" thickBot="1">
      <c r="A14" s="599" t="s">
        <v>2</v>
      </c>
      <c r="B14" s="600"/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M14" s="600"/>
      <c r="N14" s="600"/>
      <c r="O14" s="600"/>
      <c r="P14" s="601"/>
      <c r="R14" s="573" t="s">
        <v>257</v>
      </c>
      <c r="S14" s="574"/>
      <c r="T14" s="574"/>
      <c r="U14" s="574"/>
      <c r="V14" s="574"/>
      <c r="W14" s="574"/>
      <c r="X14" s="574"/>
      <c r="Y14" s="574"/>
      <c r="Z14" s="574"/>
      <c r="AA14" s="574"/>
      <c r="AB14" s="575"/>
    </row>
    <row r="15" spans="1:28" ht="15" thickBot="1">
      <c r="A15" s="602"/>
      <c r="B15" s="602"/>
      <c r="C15" s="602"/>
      <c r="D15" s="602"/>
      <c r="E15" s="60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R15" s="184" t="s">
        <v>257</v>
      </c>
      <c r="S15" s="185">
        <f>F24</f>
        <v>0</v>
      </c>
      <c r="T15" s="185">
        <f t="shared" ref="T15:AB15" si="0">G24</f>
        <v>0</v>
      </c>
      <c r="U15" s="185">
        <f t="shared" si="0"/>
        <v>2017</v>
      </c>
      <c r="V15" s="185">
        <f t="shared" si="0"/>
        <v>2018</v>
      </c>
      <c r="W15" s="186">
        <f t="shared" si="0"/>
        <v>2019</v>
      </c>
      <c r="X15" s="188">
        <f t="shared" si="0"/>
        <v>2020</v>
      </c>
      <c r="Y15" s="189">
        <f t="shared" si="0"/>
        <v>2021</v>
      </c>
      <c r="Z15" s="189">
        <f t="shared" si="0"/>
        <v>2022</v>
      </c>
      <c r="AA15" s="189">
        <f t="shared" si="0"/>
        <v>2023</v>
      </c>
      <c r="AB15" s="190">
        <f t="shared" si="0"/>
        <v>2024</v>
      </c>
    </row>
    <row r="16" spans="1:28" ht="15" thickBot="1">
      <c r="R16" s="181" t="s">
        <v>255</v>
      </c>
      <c r="S16" s="182">
        <f>'Analisis Financiero'!S16</f>
        <v>0</v>
      </c>
      <c r="T16" s="182">
        <f>'Analisis Financiero'!T16</f>
        <v>0</v>
      </c>
      <c r="U16" s="182">
        <f>'Analisis Financiero'!U16</f>
        <v>0.05</v>
      </c>
      <c r="V16" s="182">
        <f>'Analisis Financiero'!V16</f>
        <v>0.08</v>
      </c>
      <c r="W16" s="183">
        <f>'Analisis Financiero'!W16</f>
        <v>0.105</v>
      </c>
      <c r="X16" s="187">
        <f>_xlfn.FORECAST.LINEAR(X15:AB15,U16:W16,U15:W15)</f>
        <v>0.13333333333333286</v>
      </c>
      <c r="Y16" s="187">
        <f t="shared" ref="Y16:AB16" si="1">_xlfn.FORECAST.LINEAR(Y15:AC15,V16:X16,V15:X15)</f>
        <v>0.15944444444444628</v>
      </c>
      <c r="Z16" s="187">
        <f t="shared" si="1"/>
        <v>0.18703703703704377</v>
      </c>
      <c r="AA16" s="187">
        <f t="shared" si="1"/>
        <v>0.21364197530864715</v>
      </c>
      <c r="AB16" s="187">
        <f t="shared" si="1"/>
        <v>0.2409053497942466</v>
      </c>
    </row>
    <row r="17" spans="1:16">
      <c r="A17" s="796" t="s">
        <v>31</v>
      </c>
      <c r="B17" s="797"/>
      <c r="C17" s="797"/>
      <c r="D17" s="797"/>
      <c r="E17" s="797"/>
      <c r="F17" s="797"/>
      <c r="G17" s="797"/>
      <c r="H17" s="797"/>
      <c r="I17" s="797"/>
      <c r="J17" s="797"/>
      <c r="K17" s="797"/>
      <c r="L17" s="797"/>
      <c r="M17" s="797"/>
      <c r="N17" s="797"/>
      <c r="O17" s="797"/>
      <c r="P17" s="798"/>
    </row>
    <row r="18" spans="1:16" ht="15" thickBot="1">
      <c r="A18" s="799"/>
      <c r="B18" s="800"/>
      <c r="C18" s="800"/>
      <c r="D18" s="800"/>
      <c r="E18" s="800"/>
      <c r="F18" s="800"/>
      <c r="G18" s="800"/>
      <c r="H18" s="800"/>
      <c r="I18" s="800"/>
      <c r="J18" s="800"/>
      <c r="K18" s="800"/>
      <c r="L18" s="800"/>
      <c r="M18" s="800"/>
      <c r="N18" s="800"/>
      <c r="O18" s="800"/>
      <c r="P18" s="801"/>
    </row>
    <row r="19" spans="1:16" ht="22.8">
      <c r="A19" s="585" t="s">
        <v>373</v>
      </c>
      <c r="B19" s="586"/>
      <c r="C19" s="586"/>
      <c r="D19" s="586"/>
      <c r="E19" s="586"/>
      <c r="F19" s="586"/>
      <c r="G19" s="586"/>
      <c r="H19" s="586"/>
      <c r="I19" s="586"/>
      <c r="J19" s="586"/>
      <c r="K19" s="586"/>
      <c r="L19" s="586"/>
      <c r="M19" s="586"/>
      <c r="N19" s="586"/>
      <c r="O19" s="586"/>
      <c r="P19" s="587"/>
    </row>
    <row r="20" spans="1:16">
      <c r="A20" s="542" t="s">
        <v>32</v>
      </c>
      <c r="B20" s="543"/>
      <c r="C20" s="543"/>
      <c r="D20" s="543"/>
      <c r="E20" s="543"/>
      <c r="F20" s="543"/>
      <c r="G20" s="543"/>
      <c r="H20" s="543"/>
      <c r="I20" s="543"/>
      <c r="J20" s="543"/>
      <c r="K20" s="543"/>
      <c r="L20" s="543"/>
      <c r="M20" s="543"/>
      <c r="N20" s="543"/>
      <c r="O20" s="543"/>
      <c r="P20" s="588"/>
    </row>
    <row r="21" spans="1:16" ht="15" thickBot="1">
      <c r="A21" s="542"/>
      <c r="B21" s="543"/>
      <c r="C21" s="543"/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88"/>
    </row>
    <row r="22" spans="1:16" ht="22.8" thickBot="1">
      <c r="A22" s="802" t="s">
        <v>33</v>
      </c>
      <c r="B22" s="803"/>
      <c r="C22" s="803"/>
      <c r="D22" s="803"/>
      <c r="E22" s="803"/>
      <c r="F22" s="803"/>
      <c r="G22" s="803"/>
      <c r="H22" s="803"/>
      <c r="I22" s="803"/>
      <c r="J22" s="803"/>
      <c r="K22" s="803"/>
      <c r="L22" s="803"/>
      <c r="M22" s="803"/>
      <c r="N22" s="803"/>
      <c r="O22" s="803"/>
      <c r="P22" s="804"/>
    </row>
    <row r="23" spans="1:16" ht="22.5" customHeight="1" thickBot="1">
      <c r="A23" s="25"/>
      <c r="B23" s="26"/>
      <c r="C23" s="26"/>
      <c r="D23" s="26"/>
      <c r="E23" s="26"/>
      <c r="F23" s="576" t="s">
        <v>37</v>
      </c>
      <c r="G23" s="577"/>
      <c r="H23" s="577"/>
      <c r="I23" s="577"/>
      <c r="J23" s="577"/>
      <c r="K23" s="576" t="s">
        <v>36</v>
      </c>
      <c r="L23" s="577"/>
      <c r="M23" s="577"/>
      <c r="N23" s="577"/>
      <c r="O23" s="577"/>
      <c r="P23" s="119"/>
    </row>
    <row r="24" spans="1:16" ht="15.75" customHeight="1" thickBot="1">
      <c r="A24" s="805" t="s">
        <v>35</v>
      </c>
      <c r="B24" s="806"/>
      <c r="C24" s="806"/>
      <c r="D24" s="806"/>
      <c r="E24" s="807"/>
      <c r="F24" s="276"/>
      <c r="G24" s="21"/>
      <c r="H24" s="21">
        <f>'Analisis Financiero'!H24</f>
        <v>2017</v>
      </c>
      <c r="I24" s="21">
        <f>'Analisis Financiero'!I24</f>
        <v>2018</v>
      </c>
      <c r="J24" s="21">
        <f>'Analisis Financiero'!J24</f>
        <v>2019</v>
      </c>
      <c r="K24" s="22">
        <f>'Analisis Financiero'!K24</f>
        <v>2020</v>
      </c>
      <c r="L24" s="22">
        <f>'Analisis Financiero'!L24</f>
        <v>2021</v>
      </c>
      <c r="M24" s="22">
        <f>'Analisis Financiero'!M24</f>
        <v>2022</v>
      </c>
      <c r="N24" s="22">
        <f>'Analisis Financiero'!N24</f>
        <v>2023</v>
      </c>
      <c r="O24" s="23">
        <f>'Analisis Financiero'!O24</f>
        <v>2024</v>
      </c>
      <c r="P24" s="120"/>
    </row>
    <row r="25" spans="1:16" ht="15.75" customHeight="1">
      <c r="A25" s="808" t="s">
        <v>34</v>
      </c>
      <c r="B25" s="809"/>
      <c r="C25" s="809"/>
      <c r="D25" s="809"/>
      <c r="E25" s="810"/>
      <c r="F25" s="133">
        <f>'Analisis Financiero'!F25</f>
        <v>0</v>
      </c>
      <c r="G25" s="133">
        <f>'Analisis Financiero'!G25</f>
        <v>0</v>
      </c>
      <c r="H25" s="133">
        <f>'Analisis Financiero'!H25</f>
        <v>4.0899999999999999E-2</v>
      </c>
      <c r="I25" s="133">
        <f>'Analisis Financiero'!I25</f>
        <v>3.1800000000000002E-2</v>
      </c>
      <c r="J25" s="133">
        <f>'Analisis Financiero'!J25</f>
        <v>3.7999999999999999E-2</v>
      </c>
      <c r="K25" s="811" t="s">
        <v>260</v>
      </c>
      <c r="L25" s="812"/>
      <c r="M25" s="812"/>
      <c r="N25" s="812"/>
      <c r="O25" s="813"/>
      <c r="P25" s="177"/>
    </row>
    <row r="26" spans="1:16" ht="15.75" customHeight="1">
      <c r="A26" s="820" t="s">
        <v>247</v>
      </c>
      <c r="B26" s="821"/>
      <c r="C26" s="821"/>
      <c r="D26" s="821"/>
      <c r="E26" s="822"/>
      <c r="F26" s="133">
        <f>'Analisis Financiero'!F26</f>
        <v>0</v>
      </c>
      <c r="G26" s="133">
        <f>'Analisis Financiero'!G26</f>
        <v>0</v>
      </c>
      <c r="H26" s="133">
        <f>'Analisis Financiero'!H26</f>
        <v>1.4E-2</v>
      </c>
      <c r="I26" s="133">
        <f>'Analisis Financiero'!I26</f>
        <v>2.5000000000000001E-2</v>
      </c>
      <c r="J26" s="133">
        <f>'Analisis Financiero'!J26</f>
        <v>3.3000000000000002E-2</v>
      </c>
      <c r="K26" s="814"/>
      <c r="L26" s="815"/>
      <c r="M26" s="815"/>
      <c r="N26" s="815"/>
      <c r="O26" s="816"/>
      <c r="P26" s="177"/>
    </row>
    <row r="27" spans="1:16" ht="15.75" customHeight="1">
      <c r="A27" s="820" t="s">
        <v>248</v>
      </c>
      <c r="B27" s="821"/>
      <c r="C27" s="821"/>
      <c r="D27" s="821"/>
      <c r="E27" s="822"/>
      <c r="F27" s="277"/>
      <c r="G27" s="13">
        <f>'Analisis Financiero'!G27</f>
        <v>0</v>
      </c>
      <c r="H27" s="13">
        <f>'Analisis Financiero'!H27</f>
        <v>0</v>
      </c>
      <c r="I27" s="13">
        <f>'Analisis Financiero'!I27</f>
        <v>-9.9236973705436355</v>
      </c>
      <c r="J27" s="13">
        <f>'Analisis Financiero'!J27</f>
        <v>2.1168694638273258</v>
      </c>
      <c r="K27" s="814"/>
      <c r="L27" s="815"/>
      <c r="M27" s="815"/>
      <c r="N27" s="815"/>
      <c r="O27" s="816"/>
      <c r="P27" s="177"/>
    </row>
    <row r="28" spans="1:16" ht="20.25" customHeight="1" thickBot="1">
      <c r="A28" s="823" t="s">
        <v>253</v>
      </c>
      <c r="B28" s="524"/>
      <c r="C28" s="524"/>
      <c r="D28" s="524"/>
      <c r="E28" s="824"/>
      <c r="F28" s="277"/>
      <c r="G28" s="13">
        <f>'Analisis Financiero'!G28</f>
        <v>0</v>
      </c>
      <c r="H28" s="13">
        <f>'Analisis Financiero'!H28</f>
        <v>5.5472599999999872E-2</v>
      </c>
      <c r="I28" s="13">
        <f>'Analisis Financiero'!I28</f>
        <v>5.7595000000000063E-2</v>
      </c>
      <c r="J28" s="13">
        <f>'Analisis Financiero'!J28</f>
        <v>7.225400000000004E-2</v>
      </c>
      <c r="K28" s="817"/>
      <c r="L28" s="818"/>
      <c r="M28" s="818"/>
      <c r="N28" s="818"/>
      <c r="O28" s="819"/>
      <c r="P28" s="177"/>
    </row>
    <row r="29" spans="1:16" ht="20.25" customHeight="1" thickBot="1">
      <c r="A29" s="825" t="s">
        <v>249</v>
      </c>
      <c r="B29" s="826"/>
      <c r="C29" s="826"/>
      <c r="D29" s="826"/>
      <c r="E29" s="827"/>
      <c r="F29" s="278"/>
      <c r="G29" s="249">
        <f>'Analisis Financiero'!G29</f>
        <v>0</v>
      </c>
      <c r="H29" s="249">
        <f>'Analisis Financiero'!H29</f>
        <v>5.5472599999999872E-2</v>
      </c>
      <c r="I29" s="249">
        <f>'Analisis Financiero'!I29</f>
        <v>5.7595000000000063E-2</v>
      </c>
      <c r="J29" s="249">
        <f>'Analisis Financiero'!J29</f>
        <v>7.225400000000004E-2</v>
      </c>
      <c r="K29" s="191">
        <f>'Estrategias Operativas'!E35</f>
        <v>-2.0299999999999985E-2</v>
      </c>
      <c r="L29" s="191">
        <f>'Estrategias Operativas'!F35</f>
        <v>-1.5364000000000155E-2</v>
      </c>
      <c r="M29" s="191">
        <f>'Estrategias Operativas'!G35</f>
        <v>-2.2500000000014175E-4</v>
      </c>
      <c r="N29" s="191">
        <f>'Estrategias Operativas'!H35</f>
        <v>2.9996000000000134E-2</v>
      </c>
      <c r="O29" s="191">
        <f>'Estrategias Operativas'!I35</f>
        <v>6.3232499999999803E-2</v>
      </c>
      <c r="P29" s="120"/>
    </row>
    <row r="30" spans="1:16" ht="15" customHeight="1">
      <c r="A30" s="828"/>
      <c r="B30" s="829"/>
      <c r="C30" s="829"/>
      <c r="D30" s="829"/>
      <c r="E30" s="829"/>
      <c r="G30" s="830" t="s">
        <v>248</v>
      </c>
      <c r="H30" s="830"/>
      <c r="I30" s="830"/>
      <c r="J30" s="830"/>
      <c r="K30" s="831" t="s">
        <v>259</v>
      </c>
      <c r="L30" s="831"/>
      <c r="M30" s="831"/>
      <c r="N30" s="831"/>
      <c r="O30" s="832"/>
      <c r="P30" s="120"/>
    </row>
    <row r="31" spans="1:16" ht="15.75" customHeight="1" thickBot="1">
      <c r="P31" s="120"/>
    </row>
    <row r="32" spans="1:16" ht="29.25" customHeight="1" thickBot="1">
      <c r="A32" s="833"/>
      <c r="B32" s="834"/>
      <c r="C32" s="834"/>
      <c r="D32" s="834"/>
      <c r="E32" s="834"/>
      <c r="F32" s="834"/>
      <c r="G32" s="834"/>
      <c r="H32" s="834"/>
      <c r="I32" s="834"/>
      <c r="J32" s="834"/>
      <c r="K32" s="834"/>
      <c r="L32" s="834"/>
      <c r="M32" s="834"/>
      <c r="N32" s="834"/>
      <c r="O32" s="835"/>
      <c r="P32" s="120"/>
    </row>
    <row r="33" spans="1:16">
      <c r="A33" s="796" t="s">
        <v>39</v>
      </c>
      <c r="B33" s="797"/>
      <c r="C33" s="797"/>
      <c r="D33" s="797"/>
      <c r="E33" s="797"/>
      <c r="F33" s="797"/>
      <c r="G33" s="797"/>
      <c r="H33" s="797"/>
      <c r="I33" s="797"/>
      <c r="J33" s="797"/>
      <c r="K33" s="797"/>
      <c r="L33" s="797"/>
      <c r="M33" s="797"/>
      <c r="N33" s="797"/>
      <c r="O33" s="797"/>
      <c r="P33" s="798"/>
    </row>
    <row r="34" spans="1:16" ht="15" thickBot="1">
      <c r="A34" s="799"/>
      <c r="B34" s="800"/>
      <c r="C34" s="800"/>
      <c r="D34" s="800"/>
      <c r="E34" s="800"/>
      <c r="F34" s="800"/>
      <c r="G34" s="800"/>
      <c r="H34" s="800"/>
      <c r="I34" s="800"/>
      <c r="J34" s="800"/>
      <c r="K34" s="800"/>
      <c r="L34" s="800"/>
      <c r="M34" s="800"/>
      <c r="N34" s="800"/>
      <c r="O34" s="800"/>
      <c r="P34" s="801"/>
    </row>
    <row r="35" spans="1:16" ht="22.8">
      <c r="A35" s="585" t="s">
        <v>373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  <c r="N35" s="586"/>
      <c r="O35" s="586"/>
      <c r="P35" s="587"/>
    </row>
    <row r="36" spans="1:16">
      <c r="A36" s="542" t="s">
        <v>40</v>
      </c>
      <c r="B36" s="543"/>
      <c r="C36" s="543"/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  <c r="O36" s="543"/>
      <c r="P36" s="588"/>
    </row>
    <row r="37" spans="1:16" ht="15" thickBot="1">
      <c r="A37" s="558"/>
      <c r="B37" s="544"/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615"/>
    </row>
    <row r="38" spans="1:16" ht="15" thickBot="1">
      <c r="A38" s="844" t="s">
        <v>10</v>
      </c>
      <c r="B38" s="845"/>
      <c r="C38" s="845"/>
      <c r="D38" s="845"/>
      <c r="E38" s="845"/>
      <c r="F38" s="845"/>
      <c r="G38" s="846"/>
      <c r="H38" s="16">
        <f t="shared" ref="H38:O38" si="2">H24</f>
        <v>2017</v>
      </c>
      <c r="I38" s="16">
        <f t="shared" si="2"/>
        <v>2018</v>
      </c>
      <c r="J38" s="27">
        <f t="shared" si="2"/>
        <v>2019</v>
      </c>
      <c r="K38" s="33">
        <f t="shared" si="2"/>
        <v>2020</v>
      </c>
      <c r="L38" s="34">
        <f t="shared" si="2"/>
        <v>2021</v>
      </c>
      <c r="M38" s="34">
        <f t="shared" si="2"/>
        <v>2022</v>
      </c>
      <c r="N38" s="34">
        <f t="shared" si="2"/>
        <v>2023</v>
      </c>
      <c r="O38" s="35">
        <f t="shared" si="2"/>
        <v>2024</v>
      </c>
    </row>
    <row r="39" spans="1:16">
      <c r="A39" s="842" t="s">
        <v>11</v>
      </c>
      <c r="B39" s="843"/>
      <c r="C39" s="843"/>
      <c r="D39" s="843"/>
      <c r="E39" s="843"/>
      <c r="F39" s="5"/>
      <c r="G39" s="5"/>
      <c r="H39" s="5"/>
      <c r="I39" s="5"/>
      <c r="J39" s="5"/>
      <c r="K39" s="139"/>
      <c r="L39" s="139"/>
      <c r="M39" s="139"/>
      <c r="N39" s="139"/>
      <c r="O39" s="139"/>
    </row>
    <row r="40" spans="1:16" ht="15.6">
      <c r="A40" s="563" t="s">
        <v>192</v>
      </c>
      <c r="B40" s="564"/>
      <c r="C40" s="564"/>
      <c r="D40" s="564"/>
      <c r="E40" s="564"/>
      <c r="F40" s="564"/>
      <c r="G40" s="565"/>
      <c r="H40" s="134">
        <f>'Cifras Historicas'!H17</f>
        <v>2878000</v>
      </c>
      <c r="I40" s="134">
        <f>'Cifras Historicas'!I17</f>
        <v>11102000</v>
      </c>
      <c r="J40" s="134">
        <f>'Cifras Historicas'!J17</f>
        <v>38955268</v>
      </c>
      <c r="K40" s="134">
        <f t="shared" ref="K40:O45" si="3">J40*(1+K$29)</f>
        <v>38164476.059600003</v>
      </c>
      <c r="L40" s="134">
        <f t="shared" si="3"/>
        <v>37578117.049420305</v>
      </c>
      <c r="M40" s="134">
        <f t="shared" si="3"/>
        <v>37569661.973084182</v>
      </c>
      <c r="N40" s="134">
        <f t="shared" si="3"/>
        <v>38696601.553628817</v>
      </c>
      <c r="O40" s="134">
        <f t="shared" si="3"/>
        <v>41143484.411368646</v>
      </c>
    </row>
    <row r="41" spans="1:16" ht="15.6">
      <c r="A41" s="563" t="s">
        <v>193</v>
      </c>
      <c r="B41" s="564"/>
      <c r="C41" s="564"/>
      <c r="D41" s="564"/>
      <c r="E41" s="564"/>
      <c r="F41" s="564">
        <f>'Cifras Historicas'!F18</f>
        <v>0</v>
      </c>
      <c r="G41" s="565">
        <f>'Cifras Historicas'!G18</f>
        <v>0</v>
      </c>
      <c r="H41" s="134">
        <f>'Cifras Historicas'!H18</f>
        <v>0</v>
      </c>
      <c r="I41" s="134">
        <f>'Cifras Historicas'!I18</f>
        <v>0</v>
      </c>
      <c r="J41" s="134">
        <f>'Cifras Historicas'!J18</f>
        <v>0</v>
      </c>
      <c r="K41" s="134">
        <f t="shared" si="3"/>
        <v>0</v>
      </c>
      <c r="L41" s="134">
        <f t="shared" si="3"/>
        <v>0</v>
      </c>
      <c r="M41" s="134">
        <f t="shared" si="3"/>
        <v>0</v>
      </c>
      <c r="N41" s="134">
        <f t="shared" si="3"/>
        <v>0</v>
      </c>
      <c r="O41" s="134">
        <f t="shared" si="3"/>
        <v>0</v>
      </c>
    </row>
    <row r="42" spans="1:16" ht="15.6">
      <c r="A42" s="563" t="s">
        <v>194</v>
      </c>
      <c r="B42" s="564"/>
      <c r="C42" s="564"/>
      <c r="D42" s="564"/>
      <c r="E42" s="564"/>
      <c r="F42" s="564">
        <f>'Cifras Historicas'!F19</f>
        <v>0</v>
      </c>
      <c r="G42" s="565">
        <f>'Cifras Historicas'!G19</f>
        <v>0</v>
      </c>
      <c r="H42" s="134">
        <f>'Cifras Historicas'!H19</f>
        <v>135108000</v>
      </c>
      <c r="I42" s="134">
        <f>'Cifras Historicas'!I19</f>
        <v>179266000</v>
      </c>
      <c r="J42" s="134">
        <f>'Cifras Historicas'!J19</f>
        <v>123679734</v>
      </c>
      <c r="K42" s="134">
        <f t="shared" si="3"/>
        <v>121169035.3998</v>
      </c>
      <c r="L42" s="134">
        <f t="shared" si="3"/>
        <v>119307394.33991745</v>
      </c>
      <c r="M42" s="134">
        <f t="shared" si="3"/>
        <v>119280550.17619096</v>
      </c>
      <c r="N42" s="134">
        <f t="shared" si="3"/>
        <v>122858489.559276</v>
      </c>
      <c r="O42" s="134">
        <f t="shared" si="3"/>
        <v>130627139.00033289</v>
      </c>
    </row>
    <row r="43" spans="1:16" ht="15.6">
      <c r="A43" s="563" t="s">
        <v>195</v>
      </c>
      <c r="B43" s="564"/>
      <c r="C43" s="564"/>
      <c r="D43" s="564"/>
      <c r="E43" s="564"/>
      <c r="F43" s="564">
        <f>'Cifras Historicas'!F20</f>
        <v>0</v>
      </c>
      <c r="G43" s="565">
        <f>'Cifras Historicas'!G20</f>
        <v>0</v>
      </c>
      <c r="H43" s="134">
        <f>'Cifras Historicas'!H20</f>
        <v>6148000</v>
      </c>
      <c r="I43" s="134">
        <f>'Cifras Historicas'!I20</f>
        <v>55834000</v>
      </c>
      <c r="J43" s="134">
        <f>'Cifras Historicas'!J20</f>
        <v>60622200</v>
      </c>
      <c r="K43" s="134">
        <f t="shared" si="3"/>
        <v>59391569.340000004</v>
      </c>
      <c r="L43" s="134">
        <f t="shared" si="3"/>
        <v>58479077.268660232</v>
      </c>
      <c r="M43" s="134">
        <f t="shared" si="3"/>
        <v>58465919.476274773</v>
      </c>
      <c r="N43" s="134">
        <f t="shared" si="3"/>
        <v>60219663.196885116</v>
      </c>
      <c r="O43" s="134">
        <f t="shared" si="3"/>
        <v>64027503.049982145</v>
      </c>
    </row>
    <row r="44" spans="1:16" ht="15.6">
      <c r="A44" s="563" t="s">
        <v>196</v>
      </c>
      <c r="B44" s="564"/>
      <c r="C44" s="564"/>
      <c r="D44" s="564"/>
      <c r="E44" s="564"/>
      <c r="F44" s="564">
        <f>'Cifras Historicas'!F21</f>
        <v>0</v>
      </c>
      <c r="G44" s="565">
        <f>'Cifras Historicas'!G21</f>
        <v>0</v>
      </c>
      <c r="H44" s="134">
        <f>'Cifras Historicas'!H21</f>
        <v>0</v>
      </c>
      <c r="I44" s="134">
        <f>'Cifras Historicas'!I21</f>
        <v>83000</v>
      </c>
      <c r="J44" s="134">
        <f>'Cifras Historicas'!J21</f>
        <v>43026825</v>
      </c>
      <c r="K44" s="134">
        <f t="shared" si="3"/>
        <v>42153380.452500001</v>
      </c>
      <c r="L44" s="134">
        <f t="shared" si="3"/>
        <v>41505735.915227786</v>
      </c>
      <c r="M44" s="134">
        <f t="shared" si="3"/>
        <v>41496397.12464685</v>
      </c>
      <c r="N44" s="134">
        <f t="shared" si="3"/>
        <v>42741123.052797765</v>
      </c>
      <c r="O44" s="134">
        <f t="shared" si="3"/>
        <v>45443751.116233788</v>
      </c>
    </row>
    <row r="45" spans="1:16" ht="15.6">
      <c r="A45" s="595" t="s">
        <v>197</v>
      </c>
      <c r="B45" s="596"/>
      <c r="C45" s="596"/>
      <c r="D45" s="596"/>
      <c r="E45" s="596"/>
      <c r="F45" s="596"/>
      <c r="G45" s="636"/>
      <c r="H45" s="148">
        <f>'Cifras Historicas'!H22</f>
        <v>144134000</v>
      </c>
      <c r="I45" s="148">
        <f>'Cifras Historicas'!I22</f>
        <v>246285000</v>
      </c>
      <c r="J45" s="148">
        <f>'Cifras Historicas'!J22</f>
        <v>266284027</v>
      </c>
      <c r="K45" s="148">
        <f>SUM(K40:K44)</f>
        <v>260878461.25190002</v>
      </c>
      <c r="L45" s="148">
        <f t="shared" si="3"/>
        <v>256870324.5732258</v>
      </c>
      <c r="M45" s="148">
        <f t="shared" si="3"/>
        <v>256812528.75019678</v>
      </c>
      <c r="N45" s="148">
        <f t="shared" si="3"/>
        <v>264515877.36258772</v>
      </c>
      <c r="O45" s="148">
        <f t="shared" si="3"/>
        <v>281241877.57791752</v>
      </c>
    </row>
    <row r="46" spans="1:16">
      <c r="A46" s="839" t="s">
        <v>12</v>
      </c>
      <c r="B46" s="840"/>
      <c r="C46" s="840"/>
      <c r="D46" s="840"/>
      <c r="E46" s="840"/>
      <c r="F46" s="5"/>
      <c r="G46" s="5"/>
      <c r="H46" s="5"/>
      <c r="I46" s="5"/>
      <c r="J46" s="6"/>
      <c r="K46" s="139"/>
      <c r="L46" s="139"/>
      <c r="M46" s="139"/>
      <c r="N46" s="139"/>
      <c r="O46" s="139"/>
    </row>
    <row r="47" spans="1:16" ht="15.6">
      <c r="A47" s="563" t="s">
        <v>193</v>
      </c>
      <c r="B47" s="564"/>
      <c r="C47" s="564"/>
      <c r="D47" s="564"/>
      <c r="E47" s="564"/>
      <c r="F47" s="564">
        <f>'Cifras Historicas'!F24</f>
        <v>0</v>
      </c>
      <c r="G47" s="565">
        <f>'Cifras Historicas'!G24</f>
        <v>0</v>
      </c>
      <c r="H47" s="134">
        <f>'Cifras Historicas'!H24</f>
        <v>0</v>
      </c>
      <c r="I47" s="134">
        <f>'Cifras Historicas'!I24</f>
        <v>0</v>
      </c>
      <c r="J47" s="134">
        <f>'Cifras Historicas'!J24</f>
        <v>0</v>
      </c>
      <c r="K47" s="134">
        <f t="shared" ref="K47:O52" si="4">J47*(1+K$29)</f>
        <v>0</v>
      </c>
      <c r="L47" s="134">
        <f t="shared" si="4"/>
        <v>0</v>
      </c>
      <c r="M47" s="134">
        <f t="shared" si="4"/>
        <v>0</v>
      </c>
      <c r="N47" s="134">
        <f t="shared" si="4"/>
        <v>0</v>
      </c>
      <c r="O47" s="134">
        <f t="shared" si="4"/>
        <v>0</v>
      </c>
    </row>
    <row r="48" spans="1:16" ht="15.6">
      <c r="A48" s="563" t="s">
        <v>198</v>
      </c>
      <c r="B48" s="564"/>
      <c r="C48" s="564"/>
      <c r="D48" s="564"/>
      <c r="E48" s="564"/>
      <c r="F48" s="564">
        <f>'Cifras Historicas'!F25</f>
        <v>0</v>
      </c>
      <c r="G48" s="565">
        <f>'Cifras Historicas'!G25</f>
        <v>0</v>
      </c>
      <c r="H48" s="134">
        <f>'Cifras Historicas'!H25</f>
        <v>0</v>
      </c>
      <c r="I48" s="134">
        <f>'Cifras Historicas'!I25</f>
        <v>0</v>
      </c>
      <c r="J48" s="134">
        <f>'Cifras Historicas'!J25</f>
        <v>0</v>
      </c>
      <c r="K48" s="134">
        <f t="shared" si="4"/>
        <v>0</v>
      </c>
      <c r="L48" s="134">
        <f t="shared" si="4"/>
        <v>0</v>
      </c>
      <c r="M48" s="134">
        <f t="shared" si="4"/>
        <v>0</v>
      </c>
      <c r="N48" s="134">
        <f t="shared" si="4"/>
        <v>0</v>
      </c>
      <c r="O48" s="134">
        <f t="shared" si="4"/>
        <v>0</v>
      </c>
    </row>
    <row r="49" spans="1:35" ht="15.6">
      <c r="A49" s="563" t="s">
        <v>199</v>
      </c>
      <c r="B49" s="564"/>
      <c r="C49" s="564"/>
      <c r="D49" s="564"/>
      <c r="E49" s="564"/>
      <c r="F49" s="564">
        <f>'Cifras Historicas'!F26</f>
        <v>0</v>
      </c>
      <c r="G49" s="565">
        <f>'Cifras Historicas'!G26</f>
        <v>0</v>
      </c>
      <c r="H49" s="134">
        <f>'Cifras Historicas'!H26</f>
        <v>25278000</v>
      </c>
      <c r="I49" s="134">
        <f>'Cifras Historicas'!I26</f>
        <v>20453000</v>
      </c>
      <c r="J49" s="134">
        <f>'Cifras Historicas'!J26</f>
        <v>10657046</v>
      </c>
      <c r="K49" s="134">
        <f>J49*(1+K$29)+115000000</f>
        <v>125440707.96619999</v>
      </c>
      <c r="L49" s="134">
        <f t="shared" si="4"/>
        <v>123513436.92900728</v>
      </c>
      <c r="M49" s="134">
        <f t="shared" si="4"/>
        <v>123485646.40569824</v>
      </c>
      <c r="N49" s="134">
        <f t="shared" si="4"/>
        <v>127189721.85528357</v>
      </c>
      <c r="O49" s="134">
        <f t="shared" si="4"/>
        <v>135232245.94249776</v>
      </c>
    </row>
    <row r="50" spans="1:35" ht="15.6">
      <c r="A50" s="563" t="s">
        <v>200</v>
      </c>
      <c r="B50" s="564"/>
      <c r="C50" s="564"/>
      <c r="D50" s="564"/>
      <c r="E50" s="564"/>
      <c r="F50" s="564">
        <f>'Cifras Historicas'!F27</f>
        <v>0</v>
      </c>
      <c r="G50" s="565">
        <f>'Cifras Historicas'!G27</f>
        <v>0</v>
      </c>
      <c r="H50" s="134">
        <f>'Cifras Historicas'!H27</f>
        <v>0</v>
      </c>
      <c r="I50" s="134">
        <f>'Cifras Historicas'!I27</f>
        <v>0</v>
      </c>
      <c r="J50" s="134">
        <f>'Cifras Historicas'!J27</f>
        <v>0</v>
      </c>
      <c r="K50" s="134">
        <f t="shared" si="4"/>
        <v>0</v>
      </c>
      <c r="L50" s="134">
        <f t="shared" si="4"/>
        <v>0</v>
      </c>
      <c r="M50" s="134">
        <f t="shared" si="4"/>
        <v>0</v>
      </c>
      <c r="N50" s="134">
        <f t="shared" si="4"/>
        <v>0</v>
      </c>
      <c r="O50" s="134">
        <f t="shared" si="4"/>
        <v>0</v>
      </c>
    </row>
    <row r="51" spans="1:35" ht="15.6">
      <c r="A51" s="563" t="s">
        <v>201</v>
      </c>
      <c r="B51" s="564"/>
      <c r="C51" s="564"/>
      <c r="D51" s="564"/>
      <c r="E51" s="564"/>
      <c r="F51" s="564">
        <f>'Cifras Historicas'!F28</f>
        <v>0</v>
      </c>
      <c r="G51" s="565">
        <f>'Cifras Historicas'!G28</f>
        <v>0</v>
      </c>
      <c r="H51" s="134">
        <f>'Cifras Historicas'!H28</f>
        <v>0</v>
      </c>
      <c r="I51" s="134">
        <f>'Cifras Historicas'!I28</f>
        <v>0</v>
      </c>
      <c r="J51" s="134">
        <f>'Cifras Historicas'!J28</f>
        <v>0</v>
      </c>
      <c r="K51" s="134">
        <f t="shared" si="4"/>
        <v>0</v>
      </c>
      <c r="L51" s="134">
        <f t="shared" si="4"/>
        <v>0</v>
      </c>
      <c r="M51" s="134">
        <f t="shared" si="4"/>
        <v>0</v>
      </c>
      <c r="N51" s="134">
        <f t="shared" si="4"/>
        <v>0</v>
      </c>
      <c r="O51" s="134">
        <f t="shared" si="4"/>
        <v>0</v>
      </c>
    </row>
    <row r="52" spans="1:35" ht="15.6">
      <c r="A52" s="595" t="s">
        <v>202</v>
      </c>
      <c r="B52" s="596"/>
      <c r="C52" s="596"/>
      <c r="D52" s="596"/>
      <c r="E52" s="596"/>
      <c r="F52" s="596">
        <f>'Cifras Historicas'!F29</f>
        <v>0</v>
      </c>
      <c r="G52" s="636">
        <f>'Cifras Historicas'!G29</f>
        <v>0</v>
      </c>
      <c r="H52" s="148">
        <f>'Cifras Historicas'!H29</f>
        <v>25278000</v>
      </c>
      <c r="I52" s="148">
        <f>'Cifras Historicas'!I29</f>
        <v>20453000</v>
      </c>
      <c r="J52" s="148">
        <f>'Cifras Historicas'!J29</f>
        <v>10657046</v>
      </c>
      <c r="K52" s="148">
        <f>SUM(K47:K51)</f>
        <v>125440707.96619999</v>
      </c>
      <c r="L52" s="148">
        <f t="shared" si="4"/>
        <v>123513436.92900728</v>
      </c>
      <c r="M52" s="148">
        <f t="shared" si="4"/>
        <v>123485646.40569824</v>
      </c>
      <c r="N52" s="148">
        <f t="shared" si="4"/>
        <v>127189721.85528357</v>
      </c>
      <c r="O52" s="148">
        <f t="shared" si="4"/>
        <v>135232245.94249776</v>
      </c>
    </row>
    <row r="53" spans="1:35">
      <c r="A53" s="136"/>
      <c r="B53" s="136"/>
      <c r="C53" s="136"/>
      <c r="D53" s="136"/>
      <c r="E53" s="136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35" ht="15.6">
      <c r="A54" s="847" t="s">
        <v>4</v>
      </c>
      <c r="B54" s="848"/>
      <c r="C54" s="848"/>
      <c r="D54" s="848"/>
      <c r="E54" s="848"/>
      <c r="F54" s="848"/>
      <c r="G54" s="849"/>
      <c r="H54" s="146">
        <f t="shared" ref="H54:K54" si="5">H45+H52</f>
        <v>169412000</v>
      </c>
      <c r="I54" s="146">
        <f t="shared" si="5"/>
        <v>266738000</v>
      </c>
      <c r="J54" s="146">
        <f t="shared" si="5"/>
        <v>276941073</v>
      </c>
      <c r="K54" s="147">
        <f t="shared" si="5"/>
        <v>386319169.21810001</v>
      </c>
      <c r="L54" s="147">
        <f t="shared" ref="L54:O54" si="6">L45+L52</f>
        <v>380383761.50223309</v>
      </c>
      <c r="M54" s="147">
        <f t="shared" si="6"/>
        <v>380298175.15589499</v>
      </c>
      <c r="N54" s="147">
        <f t="shared" si="6"/>
        <v>391705599.21787131</v>
      </c>
      <c r="O54" s="147">
        <f t="shared" si="6"/>
        <v>416474123.52041531</v>
      </c>
    </row>
    <row r="55" spans="1:35">
      <c r="A55" s="3"/>
    </row>
    <row r="56" spans="1:35">
      <c r="A56" s="839" t="s">
        <v>13</v>
      </c>
      <c r="B56" s="840"/>
      <c r="C56" s="840"/>
      <c r="D56" s="840"/>
      <c r="E56" s="840"/>
      <c r="F56" s="840"/>
      <c r="G56" s="840"/>
      <c r="H56" s="5"/>
      <c r="I56" s="5"/>
      <c r="J56" s="6"/>
      <c r="K56" s="139"/>
      <c r="L56" s="139"/>
      <c r="M56" s="139"/>
      <c r="N56" s="139"/>
      <c r="O56" s="139"/>
      <c r="Q56" s="2"/>
      <c r="R56" s="2"/>
      <c r="S56" s="2"/>
      <c r="T56" s="2"/>
      <c r="U56" s="140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ht="15.6">
      <c r="A57" s="563" t="s">
        <v>203</v>
      </c>
      <c r="B57" s="564"/>
      <c r="C57" s="564"/>
      <c r="D57" s="564"/>
      <c r="E57" s="564"/>
      <c r="F57" s="564">
        <f>'Cifras Historicas'!F34</f>
        <v>0</v>
      </c>
      <c r="G57" s="565">
        <f>'Cifras Historicas'!G34</f>
        <v>0</v>
      </c>
      <c r="H57" s="134">
        <f>'Cifras Historicas'!H34</f>
        <v>0</v>
      </c>
      <c r="I57" s="134">
        <f>'Cifras Historicas'!I34</f>
        <v>0</v>
      </c>
      <c r="J57" s="134">
        <f>'Cifras Historicas'!J34</f>
        <v>0</v>
      </c>
      <c r="K57" s="134">
        <f t="shared" ref="K57:O62" si="7">J57*(1+K$29)</f>
        <v>0</v>
      </c>
      <c r="L57" s="134">
        <f t="shared" si="7"/>
        <v>0</v>
      </c>
      <c r="M57" s="134">
        <f t="shared" si="7"/>
        <v>0</v>
      </c>
      <c r="N57" s="134">
        <f t="shared" si="7"/>
        <v>0</v>
      </c>
      <c r="O57" s="134">
        <f t="shared" si="7"/>
        <v>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ht="15.6">
      <c r="A58" s="563" t="s">
        <v>204</v>
      </c>
      <c r="B58" s="564"/>
      <c r="C58" s="564"/>
      <c r="D58" s="564"/>
      <c r="E58" s="564"/>
      <c r="F58" s="564">
        <f>'Cifras Historicas'!F35</f>
        <v>0</v>
      </c>
      <c r="G58" s="565">
        <f>'Cifras Historicas'!G35</f>
        <v>0</v>
      </c>
      <c r="H58" s="134">
        <f>'Cifras Historicas'!H35</f>
        <v>136248000</v>
      </c>
      <c r="I58" s="134">
        <f>'Cifras Historicas'!I35</f>
        <v>167772000</v>
      </c>
      <c r="J58" s="134">
        <f>'Cifras Historicas'!J35</f>
        <v>183137894</v>
      </c>
      <c r="K58" s="134">
        <f t="shared" si="7"/>
        <v>179420194.7518</v>
      </c>
      <c r="L58" s="134">
        <f t="shared" si="7"/>
        <v>176663582.87963331</v>
      </c>
      <c r="M58" s="134">
        <f t="shared" si="7"/>
        <v>176623833.57348537</v>
      </c>
      <c r="N58" s="134">
        <f t="shared" si="7"/>
        <v>181921842.08535567</v>
      </c>
      <c r="O58" s="134">
        <f t="shared" si="7"/>
        <v>193425214.96501788</v>
      </c>
      <c r="Q58" s="2"/>
      <c r="R58" s="616"/>
      <c r="S58" s="616"/>
      <c r="T58" s="616"/>
      <c r="U58" s="616"/>
      <c r="V58" s="616"/>
      <c r="W58" s="616"/>
      <c r="X58" s="616"/>
      <c r="Y58" s="616"/>
      <c r="Z58" s="616"/>
      <c r="AA58" s="616"/>
      <c r="AB58" s="2"/>
      <c r="AC58" s="2"/>
      <c r="AD58" s="2"/>
      <c r="AE58" s="2"/>
      <c r="AF58" s="2"/>
      <c r="AG58" s="2"/>
      <c r="AH58" s="2"/>
      <c r="AI58" s="2"/>
    </row>
    <row r="59" spans="1:35" ht="15.6">
      <c r="A59" s="563" t="s">
        <v>205</v>
      </c>
      <c r="B59" s="564"/>
      <c r="C59" s="564"/>
      <c r="D59" s="564"/>
      <c r="E59" s="564"/>
      <c r="F59" s="564">
        <f>'Cifras Historicas'!F36</f>
        <v>0</v>
      </c>
      <c r="G59" s="565">
        <f>'Cifras Historicas'!G36</f>
        <v>0</v>
      </c>
      <c r="H59" s="134">
        <f>'Cifras Historicas'!H36</f>
        <v>0</v>
      </c>
      <c r="I59" s="134">
        <f>'Cifras Historicas'!I36</f>
        <v>0</v>
      </c>
      <c r="J59" s="134">
        <f>'Cifras Historicas'!J36</f>
        <v>34995107</v>
      </c>
      <c r="K59" s="134">
        <f t="shared" si="7"/>
        <v>34284706.3279</v>
      </c>
      <c r="L59" s="134">
        <f t="shared" si="7"/>
        <v>33757956.09987814</v>
      </c>
      <c r="M59" s="134">
        <f t="shared" si="7"/>
        <v>33750360.559755661</v>
      </c>
      <c r="N59" s="134">
        <f t="shared" si="7"/>
        <v>34762736.375106096</v>
      </c>
      <c r="O59" s="134">
        <f t="shared" si="7"/>
        <v>36960871.102944985</v>
      </c>
      <c r="Q59" s="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2"/>
      <c r="AC59" s="2"/>
      <c r="AD59" s="2"/>
      <c r="AE59" s="2"/>
      <c r="AF59" s="2"/>
      <c r="AG59" s="2"/>
      <c r="AH59" s="2"/>
      <c r="AI59" s="2"/>
    </row>
    <row r="60" spans="1:35" ht="15.6">
      <c r="A60" s="563" t="s">
        <v>206</v>
      </c>
      <c r="B60" s="564"/>
      <c r="C60" s="564"/>
      <c r="D60" s="564"/>
      <c r="E60" s="564"/>
      <c r="F60" s="564">
        <f>'Cifras Historicas'!F37</f>
        <v>0</v>
      </c>
      <c r="G60" s="565">
        <f>'Cifras Historicas'!G37</f>
        <v>0</v>
      </c>
      <c r="H60" s="134">
        <f>'Cifras Historicas'!H37</f>
        <v>5591000</v>
      </c>
      <c r="I60" s="134">
        <f>'Cifras Historicas'!I37</f>
        <v>4799000</v>
      </c>
      <c r="J60" s="134">
        <f>'Cifras Historicas'!J37</f>
        <v>13966541</v>
      </c>
      <c r="K60" s="134">
        <f t="shared" si="7"/>
        <v>13683020.217700001</v>
      </c>
      <c r="L60" s="134">
        <f t="shared" si="7"/>
        <v>13472794.295075256</v>
      </c>
      <c r="M60" s="134">
        <f t="shared" si="7"/>
        <v>13469762.916358862</v>
      </c>
      <c r="N60" s="134">
        <f t="shared" si="7"/>
        <v>13873801.924797965</v>
      </c>
      <c r="O60" s="134">
        <f t="shared" si="7"/>
        <v>14751077.105007749</v>
      </c>
      <c r="Q60" s="140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4"/>
      <c r="AC60" s="124"/>
      <c r="AD60" s="124"/>
      <c r="AE60" s="124"/>
      <c r="AF60" s="124"/>
      <c r="AG60" s="124"/>
      <c r="AH60" s="124"/>
      <c r="AI60" s="124"/>
    </row>
    <row r="61" spans="1:35" ht="15.6">
      <c r="A61" s="563" t="s">
        <v>207</v>
      </c>
      <c r="B61" s="564"/>
      <c r="C61" s="564"/>
      <c r="D61" s="564"/>
      <c r="E61" s="564"/>
      <c r="F61" s="564">
        <f>'Cifras Historicas'!F38</f>
        <v>0</v>
      </c>
      <c r="G61" s="565">
        <f>'Cifras Historicas'!G38</f>
        <v>0</v>
      </c>
      <c r="H61" s="134">
        <f>'Cifras Historicas'!H38</f>
        <v>1074000</v>
      </c>
      <c r="I61" s="134">
        <f>'Cifras Historicas'!I38</f>
        <v>14153000</v>
      </c>
      <c r="J61" s="134">
        <f>'Cifras Historicas'!J38</f>
        <v>20050957</v>
      </c>
      <c r="K61" s="134">
        <f t="shared" si="7"/>
        <v>19643922.572900001</v>
      </c>
      <c r="L61" s="134">
        <f t="shared" si="7"/>
        <v>19342113.346489962</v>
      </c>
      <c r="M61" s="134">
        <f t="shared" si="7"/>
        <v>19337761.370986998</v>
      </c>
      <c r="N61" s="134">
        <f t="shared" si="7"/>
        <v>19917816.861071128</v>
      </c>
      <c r="O61" s="134">
        <f t="shared" si="7"/>
        <v>21177270.215738803</v>
      </c>
      <c r="Q61" s="140"/>
      <c r="R61" s="2"/>
      <c r="S61" s="122"/>
      <c r="T61" s="122"/>
      <c r="U61" s="122"/>
      <c r="V61" s="122"/>
      <c r="W61" s="122"/>
      <c r="X61" s="122"/>
      <c r="Y61" s="122"/>
      <c r="Z61" s="122"/>
      <c r="AA61" s="122"/>
      <c r="AB61" s="124"/>
      <c r="AC61" s="124"/>
      <c r="AD61" s="124"/>
      <c r="AE61" s="124"/>
      <c r="AF61" s="124"/>
      <c r="AG61" s="124"/>
      <c r="AH61" s="124"/>
      <c r="AI61" s="124"/>
    </row>
    <row r="62" spans="1:35" ht="15.6">
      <c r="A62" s="595" t="s">
        <v>5</v>
      </c>
      <c r="B62" s="596"/>
      <c r="C62" s="596"/>
      <c r="D62" s="596"/>
      <c r="E62" s="596"/>
      <c r="F62" s="596"/>
      <c r="G62" s="636"/>
      <c r="H62" s="148">
        <f>'Cifras Historicas'!H39</f>
        <v>142913000</v>
      </c>
      <c r="I62" s="148">
        <f>'Cifras Historicas'!I39</f>
        <v>186724000</v>
      </c>
      <c r="J62" s="148">
        <f>'Cifras Historicas'!J39</f>
        <v>252150499</v>
      </c>
      <c r="K62" s="148">
        <f>SUM(K57:K61)</f>
        <v>247031843.87029999</v>
      </c>
      <c r="L62" s="148">
        <f t="shared" si="7"/>
        <v>243236446.62107667</v>
      </c>
      <c r="M62" s="148">
        <f t="shared" si="7"/>
        <v>243181718.42058688</v>
      </c>
      <c r="N62" s="148">
        <f t="shared" si="7"/>
        <v>250476197.24633083</v>
      </c>
      <c r="O62" s="148">
        <f t="shared" si="7"/>
        <v>266314433.3887094</v>
      </c>
      <c r="Q62" s="140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4"/>
      <c r="AC62" s="124"/>
      <c r="AD62" s="124"/>
      <c r="AE62" s="124"/>
      <c r="AF62" s="124"/>
      <c r="AG62" s="124"/>
      <c r="AH62" s="124"/>
      <c r="AI62" s="124"/>
    </row>
    <row r="63" spans="1:35">
      <c r="A63" s="839" t="s">
        <v>14</v>
      </c>
      <c r="B63" s="840"/>
      <c r="C63" s="840"/>
      <c r="D63" s="840"/>
      <c r="E63" s="840"/>
      <c r="F63" s="5"/>
      <c r="G63" s="5"/>
      <c r="H63" s="5"/>
      <c r="I63" s="5"/>
      <c r="J63" s="6"/>
      <c r="K63" s="139"/>
      <c r="L63" s="139"/>
      <c r="M63" s="139"/>
      <c r="N63" s="139"/>
      <c r="O63" s="139"/>
      <c r="Q63" s="2"/>
      <c r="R63" s="2"/>
      <c r="S63" s="2"/>
      <c r="T63" s="2"/>
      <c r="U63" s="2"/>
      <c r="V63" s="2"/>
      <c r="W63" s="141"/>
      <c r="X63" s="141"/>
      <c r="Y63" s="141"/>
      <c r="Z63" s="141"/>
      <c r="AA63" s="141"/>
      <c r="AB63" s="2"/>
      <c r="AC63" s="2"/>
      <c r="AD63" s="2"/>
      <c r="AE63" s="2"/>
      <c r="AF63" s="2"/>
      <c r="AG63" s="2"/>
      <c r="AH63" s="2"/>
      <c r="AI63" s="2"/>
    </row>
    <row r="64" spans="1:35" ht="15.6">
      <c r="A64" s="563" t="s">
        <v>203</v>
      </c>
      <c r="B64" s="564"/>
      <c r="C64" s="564"/>
      <c r="D64" s="564"/>
      <c r="E64" s="564"/>
      <c r="F64" s="564">
        <f>'Cifras Historicas'!F41</f>
        <v>0</v>
      </c>
      <c r="G64" s="565">
        <f>'Cifras Historicas'!G41</f>
        <v>0</v>
      </c>
      <c r="H64" s="134">
        <f>'Cifras Historicas'!H41</f>
        <v>5000000</v>
      </c>
      <c r="I64" s="134">
        <f>'Cifras Historicas'!I41</f>
        <v>20000000</v>
      </c>
      <c r="J64" s="134">
        <f>'Cifras Historicas'!J41</f>
        <v>135000000</v>
      </c>
      <c r="K64" s="134">
        <v>0</v>
      </c>
      <c r="L64" s="134">
        <f t="shared" ref="K64:O66" si="8">K64*(1+L$29)</f>
        <v>0</v>
      </c>
      <c r="M64" s="134">
        <f t="shared" si="8"/>
        <v>0</v>
      </c>
      <c r="N64" s="134">
        <f t="shared" si="8"/>
        <v>0</v>
      </c>
      <c r="O64" s="134">
        <f t="shared" si="8"/>
        <v>0</v>
      </c>
      <c r="Q64" s="42"/>
      <c r="R64" s="122"/>
      <c r="S64" s="122"/>
      <c r="T64" s="122"/>
      <c r="U64" s="122"/>
      <c r="V64" s="122"/>
      <c r="W64" s="123"/>
      <c r="X64" s="123"/>
      <c r="Y64" s="123"/>
      <c r="Z64" s="123"/>
      <c r="AA64" s="123"/>
      <c r="AB64" s="124"/>
      <c r="AC64" s="124"/>
      <c r="AD64" s="124"/>
      <c r="AE64" s="124"/>
      <c r="AF64" s="124"/>
      <c r="AG64" s="124"/>
      <c r="AH64" s="124"/>
      <c r="AI64" s="124"/>
    </row>
    <row r="65" spans="1:15" ht="15.6">
      <c r="A65" s="563" t="s">
        <v>208</v>
      </c>
      <c r="B65" s="564"/>
      <c r="C65" s="564"/>
      <c r="D65" s="564"/>
      <c r="E65" s="564"/>
      <c r="F65" s="564">
        <f>'Cifras Historicas'!F42</f>
        <v>0</v>
      </c>
      <c r="G65" s="565">
        <f>'Cifras Historicas'!G42</f>
        <v>0</v>
      </c>
      <c r="H65" s="134">
        <f>'Cifras Historicas'!H42</f>
        <v>0</v>
      </c>
      <c r="I65" s="134">
        <f>'Cifras Historicas'!I42</f>
        <v>0</v>
      </c>
      <c r="J65" s="134">
        <f>'Cifras Historicas'!J42</f>
        <v>0</v>
      </c>
      <c r="K65" s="134">
        <f t="shared" si="8"/>
        <v>0</v>
      </c>
      <c r="L65" s="134">
        <f t="shared" si="8"/>
        <v>0</v>
      </c>
      <c r="M65" s="134">
        <f t="shared" si="8"/>
        <v>0</v>
      </c>
      <c r="N65" s="134">
        <f t="shared" si="8"/>
        <v>0</v>
      </c>
      <c r="O65" s="134">
        <f t="shared" si="8"/>
        <v>0</v>
      </c>
    </row>
    <row r="66" spans="1:15" ht="15.6">
      <c r="A66" s="563" t="s">
        <v>207</v>
      </c>
      <c r="B66" s="564"/>
      <c r="C66" s="564"/>
      <c r="D66" s="564"/>
      <c r="E66" s="564"/>
      <c r="F66" s="564">
        <f>'Cifras Historicas'!F43</f>
        <v>0</v>
      </c>
      <c r="G66" s="565">
        <f>'Cifras Historicas'!G43</f>
        <v>0</v>
      </c>
      <c r="H66" s="134">
        <f>'Cifras Historicas'!H43</f>
        <v>0</v>
      </c>
      <c r="I66" s="134">
        <f>'Cifras Historicas'!I43</f>
        <v>0</v>
      </c>
      <c r="J66" s="134">
        <f>'Cifras Historicas'!J43</f>
        <v>0</v>
      </c>
      <c r="K66" s="134">
        <f t="shared" si="8"/>
        <v>0</v>
      </c>
      <c r="L66" s="134">
        <f t="shared" si="8"/>
        <v>0</v>
      </c>
      <c r="M66" s="134">
        <f t="shared" si="8"/>
        <v>0</v>
      </c>
      <c r="N66" s="134">
        <f t="shared" si="8"/>
        <v>0</v>
      </c>
      <c r="O66" s="134">
        <f t="shared" si="8"/>
        <v>0</v>
      </c>
    </row>
    <row r="67" spans="1:15" ht="15.6">
      <c r="A67" s="595" t="s">
        <v>6</v>
      </c>
      <c r="B67" s="596"/>
      <c r="C67" s="596"/>
      <c r="D67" s="596"/>
      <c r="E67" s="596"/>
      <c r="F67" s="596"/>
      <c r="G67" s="636"/>
      <c r="H67" s="148">
        <f>'Cifras Historicas'!H44</f>
        <v>5000000</v>
      </c>
      <c r="I67" s="148">
        <f>'Cifras Historicas'!I44</f>
        <v>20000000</v>
      </c>
      <c r="J67" s="148">
        <f>'Cifras Historicas'!J44</f>
        <v>135000000</v>
      </c>
      <c r="K67" s="148">
        <f>SUM(K64:K66)</f>
        <v>0</v>
      </c>
      <c r="L67" s="148">
        <f t="shared" ref="L67:O67" si="9">SUM(L64:L66)</f>
        <v>0</v>
      </c>
      <c r="M67" s="148">
        <f t="shared" si="9"/>
        <v>0</v>
      </c>
      <c r="N67" s="148">
        <f t="shared" si="9"/>
        <v>0</v>
      </c>
      <c r="O67" s="148">
        <f t="shared" si="9"/>
        <v>0</v>
      </c>
    </row>
    <row r="68" spans="1:15">
      <c r="A68" s="3"/>
      <c r="B68" s="3"/>
      <c r="C68" s="3"/>
      <c r="D68" s="3"/>
      <c r="E68" s="3"/>
    </row>
    <row r="69" spans="1:15" ht="15.6">
      <c r="A69" s="841" t="s">
        <v>7</v>
      </c>
      <c r="B69" s="841"/>
      <c r="C69" s="841"/>
      <c r="D69" s="841"/>
      <c r="E69" s="841"/>
      <c r="F69" s="146">
        <f t="shared" ref="F69:K69" si="10">F62+F67</f>
        <v>0</v>
      </c>
      <c r="G69" s="146">
        <f t="shared" si="10"/>
        <v>0</v>
      </c>
      <c r="H69" s="146">
        <f t="shared" si="10"/>
        <v>147913000</v>
      </c>
      <c r="I69" s="146">
        <f t="shared" si="10"/>
        <v>206724000</v>
      </c>
      <c r="J69" s="146">
        <f t="shared" si="10"/>
        <v>387150499</v>
      </c>
      <c r="K69" s="147">
        <f t="shared" si="10"/>
        <v>247031843.87029999</v>
      </c>
      <c r="L69" s="147">
        <f t="shared" ref="L69:O69" si="11">L62+L67</f>
        <v>243236446.62107667</v>
      </c>
      <c r="M69" s="147">
        <f t="shared" si="11"/>
        <v>243181718.42058688</v>
      </c>
      <c r="N69" s="147">
        <f t="shared" si="11"/>
        <v>250476197.24633083</v>
      </c>
      <c r="O69" s="147">
        <f t="shared" si="11"/>
        <v>266314433.3887094</v>
      </c>
    </row>
    <row r="70" spans="1:15">
      <c r="A70" s="3"/>
    </row>
    <row r="71" spans="1:15">
      <c r="A71" s="839" t="s">
        <v>15</v>
      </c>
      <c r="B71" s="840"/>
      <c r="C71" s="840"/>
      <c r="D71" s="840"/>
      <c r="E71" s="840"/>
      <c r="F71" s="5"/>
      <c r="G71" s="5"/>
      <c r="H71" s="5"/>
      <c r="I71" s="5"/>
      <c r="J71" s="6"/>
      <c r="K71" s="139"/>
      <c r="L71" s="139"/>
      <c r="M71" s="139"/>
      <c r="N71" s="139"/>
      <c r="O71" s="139"/>
    </row>
    <row r="72" spans="1:15" ht="15.6">
      <c r="A72" s="563" t="s">
        <v>209</v>
      </c>
      <c r="B72" s="564"/>
      <c r="C72" s="564"/>
      <c r="D72" s="564"/>
      <c r="E72" s="564"/>
      <c r="F72" s="564">
        <f>'Cifras Historicas'!F49</f>
        <v>0</v>
      </c>
      <c r="G72" s="565">
        <f>'Cifras Historicas'!G49</f>
        <v>0</v>
      </c>
      <c r="H72" s="134">
        <f>'Cifras Historicas'!H49</f>
        <v>15300000</v>
      </c>
      <c r="I72" s="134">
        <f>'Cifras Historicas'!I49</f>
        <v>109133000</v>
      </c>
      <c r="J72" s="134">
        <f>'Cifras Historicas'!J49</f>
        <v>109133000</v>
      </c>
      <c r="K72" s="134">
        <f>J72*(1+K$29)+135000000</f>
        <v>241917600.10000002</v>
      </c>
      <c r="L72" s="134">
        <f t="shared" ref="K72:O76" si="12">K72*(1+L$29)</f>
        <v>238200778.09206358</v>
      </c>
      <c r="M72" s="134">
        <f t="shared" si="12"/>
        <v>238147182.91699281</v>
      </c>
      <c r="N72" s="134">
        <f t="shared" si="12"/>
        <v>245290645.81577095</v>
      </c>
      <c r="O72" s="134">
        <f t="shared" si="12"/>
        <v>260800986.57731664</v>
      </c>
    </row>
    <row r="73" spans="1:15" ht="15.6">
      <c r="A73" s="563" t="s">
        <v>210</v>
      </c>
      <c r="B73" s="564"/>
      <c r="C73" s="564"/>
      <c r="D73" s="564"/>
      <c r="E73" s="564"/>
      <c r="F73" s="564">
        <f>'Cifras Historicas'!F50</f>
        <v>0</v>
      </c>
      <c r="G73" s="565">
        <f>'Cifras Historicas'!G50</f>
        <v>0</v>
      </c>
      <c r="H73" s="134">
        <f>'Cifras Historicas'!H50</f>
        <v>0</v>
      </c>
      <c r="I73" s="134">
        <f>'Cifras Historicas'!I50</f>
        <v>0</v>
      </c>
      <c r="J73" s="134">
        <f>'Cifras Historicas'!J50</f>
        <v>-46923441</v>
      </c>
      <c r="K73" s="134">
        <f t="shared" si="12"/>
        <v>-45970895.147700004</v>
      </c>
      <c r="L73" s="134">
        <f t="shared" si="12"/>
        <v>-45264598.314650737</v>
      </c>
      <c r="M73" s="134">
        <f t="shared" si="12"/>
        <v>-45254413.780029938</v>
      </c>
      <c r="N73" s="134">
        <f t="shared" si="12"/>
        <v>-46611865.175775722</v>
      </c>
      <c r="O73" s="134">
        <f t="shared" si="12"/>
        <v>-49559249.940502949</v>
      </c>
    </row>
    <row r="74" spans="1:15" ht="15.6">
      <c r="A74" s="563" t="s">
        <v>211</v>
      </c>
      <c r="B74" s="564"/>
      <c r="C74" s="564"/>
      <c r="D74" s="564"/>
      <c r="E74" s="564"/>
      <c r="F74" s="564">
        <f>'Cifras Historicas'!F51</f>
        <v>0</v>
      </c>
      <c r="G74" s="565">
        <f>'Cifras Historicas'!G51</f>
        <v>0</v>
      </c>
      <c r="H74" s="134">
        <f>'Cifras Historicas'!H51</f>
        <v>0</v>
      </c>
      <c r="I74" s="134">
        <f>'Cifras Historicas'!I51</f>
        <v>6199000</v>
      </c>
      <c r="J74" s="134">
        <f>'Cifras Historicas'!J51</f>
        <v>0</v>
      </c>
      <c r="K74" s="134">
        <v>-59528129.641743898</v>
      </c>
      <c r="L74" s="134">
        <v>-58613539.457928121</v>
      </c>
      <c r="M74" s="134">
        <v>-58600351.411550105</v>
      </c>
      <c r="N74" s="134">
        <v>-60358127.55249095</v>
      </c>
      <c r="O74" s="134">
        <v>-64174722.852953792</v>
      </c>
    </row>
    <row r="75" spans="1:15" ht="15.6">
      <c r="A75" s="563" t="s">
        <v>212</v>
      </c>
      <c r="B75" s="564"/>
      <c r="C75" s="564"/>
      <c r="D75" s="564"/>
      <c r="E75" s="564"/>
      <c r="F75" s="564">
        <f>'Cifras Historicas'!F52</f>
        <v>0</v>
      </c>
      <c r="G75" s="565">
        <f>'Cifras Historicas'!G52</f>
        <v>0</v>
      </c>
      <c r="H75" s="134">
        <f>'Cifras Historicas'!H52</f>
        <v>6199000</v>
      </c>
      <c r="I75" s="134">
        <f>'Cifras Historicas'!I52</f>
        <v>-55318000</v>
      </c>
      <c r="J75" s="134">
        <f>'Cifras Historicas'!J52</f>
        <v>-172418985</v>
      </c>
      <c r="K75" s="134">
        <f>K98</f>
        <v>2868750.0372439073</v>
      </c>
      <c r="L75" s="134">
        <f t="shared" ref="L75:O75" si="13">L98</f>
        <v>34735779.675346404</v>
      </c>
      <c r="M75" s="134">
        <f t="shared" si="13"/>
        <v>34727964.124919511</v>
      </c>
      <c r="N75" s="134">
        <f t="shared" si="13"/>
        <v>35769664.136810623</v>
      </c>
      <c r="O75" s="134">
        <f t="shared" si="13"/>
        <v>38031469.42434147</v>
      </c>
    </row>
    <row r="76" spans="1:15" ht="15.6">
      <c r="A76" s="595" t="s">
        <v>8</v>
      </c>
      <c r="B76" s="596"/>
      <c r="C76" s="596"/>
      <c r="D76" s="596"/>
      <c r="E76" s="596"/>
      <c r="F76" s="596">
        <f>'Cifras Historicas'!F53</f>
        <v>0</v>
      </c>
      <c r="G76" s="636">
        <f>'Cifras Historicas'!G53</f>
        <v>0</v>
      </c>
      <c r="H76" s="148">
        <f>'Cifras Historicas'!H53</f>
        <v>21499000</v>
      </c>
      <c r="I76" s="148">
        <f>'Cifras Historicas'!I53</f>
        <v>60014000</v>
      </c>
      <c r="J76" s="148">
        <f>'Cifras Historicas'!J53</f>
        <v>-110209426</v>
      </c>
      <c r="K76" s="148">
        <f>SUM(K72:K75)</f>
        <v>139287325.34780002</v>
      </c>
      <c r="L76" s="148">
        <f t="shared" si="12"/>
        <v>137147314.88115638</v>
      </c>
      <c r="M76" s="148">
        <f t="shared" si="12"/>
        <v>137116456.73530811</v>
      </c>
      <c r="N76" s="148">
        <f t="shared" si="12"/>
        <v>141229401.97154042</v>
      </c>
      <c r="O76" s="148">
        <f t="shared" si="12"/>
        <v>150159690.13170582</v>
      </c>
    </row>
    <row r="77" spans="1:15">
      <c r="A77" s="136"/>
      <c r="B77" s="136"/>
      <c r="C77" s="136"/>
      <c r="D77" s="136"/>
      <c r="E77" s="136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15.6">
      <c r="A78" s="847" t="s">
        <v>9</v>
      </c>
      <c r="B78" s="848"/>
      <c r="C78" s="848"/>
      <c r="D78" s="848"/>
      <c r="E78" s="848"/>
      <c r="F78" s="848"/>
      <c r="G78" s="849"/>
      <c r="H78" s="146">
        <f t="shared" ref="H78:K78" si="14">H69+H76</f>
        <v>169412000</v>
      </c>
      <c r="I78" s="146">
        <f t="shared" si="14"/>
        <v>266738000</v>
      </c>
      <c r="J78" s="146">
        <f t="shared" si="14"/>
        <v>276941073</v>
      </c>
      <c r="K78" s="147">
        <f t="shared" si="14"/>
        <v>386319169.21810001</v>
      </c>
      <c r="L78" s="147">
        <f t="shared" ref="L78:O78" si="15">L69+L76</f>
        <v>380383761.50223303</v>
      </c>
      <c r="M78" s="147">
        <f t="shared" si="15"/>
        <v>380298175.15589499</v>
      </c>
      <c r="N78" s="147">
        <f t="shared" si="15"/>
        <v>391705599.21787125</v>
      </c>
      <c r="O78" s="147">
        <f t="shared" si="15"/>
        <v>416474123.52041519</v>
      </c>
    </row>
    <row r="79" spans="1:15">
      <c r="F79" s="32"/>
      <c r="K79" s="32"/>
      <c r="L79" s="32"/>
      <c r="M79" s="32"/>
      <c r="N79" s="32"/>
      <c r="O79" s="32"/>
    </row>
    <row r="80" spans="1:15" ht="15.6">
      <c r="A80" s="850" t="s">
        <v>16</v>
      </c>
      <c r="B80" s="851"/>
      <c r="C80" s="851"/>
      <c r="D80" s="851"/>
      <c r="E80" s="851"/>
      <c r="F80" s="851"/>
      <c r="G80" s="852"/>
      <c r="H80" s="309">
        <f t="shared" ref="H80:O80" si="16">H54-H78</f>
        <v>0</v>
      </c>
      <c r="I80" s="309">
        <f t="shared" si="16"/>
        <v>0</v>
      </c>
      <c r="J80" s="309">
        <f t="shared" si="16"/>
        <v>0</v>
      </c>
      <c r="K80" s="161">
        <f t="shared" si="16"/>
        <v>0</v>
      </c>
      <c r="L80" s="161">
        <f t="shared" si="16"/>
        <v>0</v>
      </c>
      <c r="M80" s="161">
        <f t="shared" si="16"/>
        <v>0</v>
      </c>
      <c r="N80" s="161">
        <f t="shared" si="16"/>
        <v>0</v>
      </c>
      <c r="O80" s="161">
        <f t="shared" si="16"/>
        <v>0</v>
      </c>
    </row>
    <row r="82" spans="1:16" ht="15" thickBot="1"/>
    <row r="83" spans="1:16" ht="15" thickBot="1">
      <c r="A83" s="853" t="s">
        <v>25</v>
      </c>
      <c r="B83" s="854"/>
      <c r="C83" s="854"/>
      <c r="D83" s="854"/>
      <c r="E83" s="854"/>
      <c r="F83" s="854"/>
      <c r="G83" s="855"/>
      <c r="H83" s="11">
        <f>'Cifras Historicas'!H63</f>
        <v>2017</v>
      </c>
      <c r="I83" s="11">
        <f>'Cifras Historicas'!I63</f>
        <v>2018</v>
      </c>
      <c r="J83" s="15">
        <f>'Cifras Historicas'!J63</f>
        <v>2019</v>
      </c>
      <c r="K83" s="33">
        <f>K38</f>
        <v>2020</v>
      </c>
      <c r="L83" s="34">
        <f>L38</f>
        <v>2021</v>
      </c>
      <c r="M83" s="34">
        <f>M38</f>
        <v>2022</v>
      </c>
      <c r="N83" s="34">
        <f>N38</f>
        <v>2023</v>
      </c>
      <c r="O83" s="35">
        <f>O38</f>
        <v>2024</v>
      </c>
    </row>
    <row r="84" spans="1:16">
      <c r="A84" s="839" t="s">
        <v>22</v>
      </c>
      <c r="B84" s="840"/>
      <c r="C84" s="840"/>
      <c r="D84" s="840"/>
      <c r="E84" s="840"/>
      <c r="F84" s="5"/>
      <c r="G84" s="5"/>
      <c r="H84" s="5"/>
      <c r="I84" s="5"/>
      <c r="J84" s="5"/>
      <c r="K84" s="836"/>
      <c r="L84" s="837"/>
      <c r="M84" s="837"/>
      <c r="N84" s="837"/>
      <c r="O84" s="838"/>
    </row>
    <row r="85" spans="1:16" ht="15.6">
      <c r="A85" s="563" t="s">
        <v>213</v>
      </c>
      <c r="B85" s="564"/>
      <c r="C85" s="564"/>
      <c r="D85" s="564"/>
      <c r="E85" s="564"/>
      <c r="F85" s="564"/>
      <c r="G85" s="565"/>
      <c r="H85" s="134">
        <f>+'Cifras Historicas'!H65</f>
        <v>217892000</v>
      </c>
      <c r="I85" s="134">
        <f>+'Cifras Historicas'!I65</f>
        <v>1273888000</v>
      </c>
      <c r="J85" s="134">
        <f>+'Cifras Historicas'!J65</f>
        <v>1515597985</v>
      </c>
      <c r="K85" s="134">
        <f>'Estrategias Operativas'!E36</f>
        <v>1484831345.9045</v>
      </c>
      <c r="L85" s="134">
        <f>'Estrategias Operativas'!F36</f>
        <v>1462018397.1060231</v>
      </c>
      <c r="M85" s="134">
        <f>'Estrategias Operativas'!G36</f>
        <v>1461689442.9666741</v>
      </c>
      <c r="N85" s="511">
        <f>'Estrategias Operativas'!H36</f>
        <v>1505534279.4979026</v>
      </c>
      <c r="O85" s="134">
        <f>'Estrategias Operativas'!I36</f>
        <v>1600732975.8262534</v>
      </c>
      <c r="P85" s="61"/>
    </row>
    <row r="86" spans="1:16" ht="15.6">
      <c r="A86" s="563" t="s">
        <v>214</v>
      </c>
      <c r="B86" s="564"/>
      <c r="C86" s="564"/>
      <c r="D86" s="564"/>
      <c r="E86" s="564"/>
      <c r="F86" s="564"/>
      <c r="G86" s="565"/>
      <c r="H86" s="134">
        <f>+'Cifras Historicas'!H66</f>
        <v>148992000</v>
      </c>
      <c r="I86" s="134">
        <f>+'Cifras Historicas'!I66</f>
        <v>719813000</v>
      </c>
      <c r="J86" s="134">
        <f>+'Cifras Historicas'!J66</f>
        <v>1008506060</v>
      </c>
      <c r="K86" s="135">
        <f>'Estrategias Operativas'!E26</f>
        <v>919026711.05316687</v>
      </c>
      <c r="L86" s="135">
        <f>'Estrategias Operativas'!F26</f>
        <v>872255508.92922711</v>
      </c>
      <c r="M86" s="135">
        <f>'Estrategias Operativas'!G26</f>
        <v>872059251.43971789</v>
      </c>
      <c r="N86" s="512">
        <f>'Estrategias Operativas'!H26</f>
        <v>898217540.74590373</v>
      </c>
      <c r="O86" s="135">
        <f>'Estrategias Operativas'!I26</f>
        <v>955014081.39111888</v>
      </c>
      <c r="P86" s="61"/>
    </row>
    <row r="87" spans="1:16" ht="15.6">
      <c r="A87" s="595" t="s">
        <v>19</v>
      </c>
      <c r="B87" s="596"/>
      <c r="C87" s="596"/>
      <c r="D87" s="596"/>
      <c r="E87" s="596"/>
      <c r="F87" s="596">
        <f t="shared" ref="F87:K87" si="17">F85-F86</f>
        <v>0</v>
      </c>
      <c r="G87" s="636">
        <f t="shared" si="17"/>
        <v>0</v>
      </c>
      <c r="H87" s="145">
        <f t="shared" si="17"/>
        <v>68900000</v>
      </c>
      <c r="I87" s="145">
        <f t="shared" si="17"/>
        <v>554075000</v>
      </c>
      <c r="J87" s="145">
        <f t="shared" si="17"/>
        <v>507091925</v>
      </c>
      <c r="K87" s="145">
        <f t="shared" si="17"/>
        <v>565804634.85133314</v>
      </c>
      <c r="L87" s="145">
        <f t="shared" ref="L87:O87" si="18">L85-L86</f>
        <v>589762888.17679596</v>
      </c>
      <c r="M87" s="145">
        <f t="shared" si="18"/>
        <v>589630191.5269562</v>
      </c>
      <c r="N87" s="513">
        <f t="shared" si="18"/>
        <v>607316738.7519989</v>
      </c>
      <c r="O87" s="145">
        <f t="shared" si="18"/>
        <v>645718894.43513453</v>
      </c>
      <c r="P87" s="61"/>
    </row>
    <row r="88" spans="1:16" ht="15.6">
      <c r="A88" s="563" t="s">
        <v>215</v>
      </c>
      <c r="B88" s="564"/>
      <c r="C88" s="564"/>
      <c r="D88" s="564"/>
      <c r="E88" s="564"/>
      <c r="F88" s="564"/>
      <c r="G88" s="565"/>
      <c r="H88" s="135">
        <f>+'Cifras Historicas'!H68</f>
        <v>50704000</v>
      </c>
      <c r="I88" s="135">
        <f>+'Cifras Historicas'!I68</f>
        <v>410753000</v>
      </c>
      <c r="J88" s="135">
        <f>+'Cifras Historicas'!J68</f>
        <v>495859357</v>
      </c>
      <c r="K88" s="135">
        <f>'Estrategias Operativas'!E27</f>
        <v>425778259.69888937</v>
      </c>
      <c r="L88" s="135">
        <f>'Estrategias Operativas'!F27</f>
        <v>405907028.48813397</v>
      </c>
      <c r="M88" s="135">
        <f>'Estrategias Operativas'!G27</f>
        <v>405815699.4067241</v>
      </c>
      <c r="N88" s="512">
        <f>'Estrategias Operativas'!H27</f>
        <v>417988547.12612826</v>
      </c>
      <c r="O88" s="135">
        <f>'Estrategias Operativas'!I27</f>
        <v>444419007.93228108</v>
      </c>
      <c r="P88" s="61"/>
    </row>
    <row r="89" spans="1:16" ht="15.6">
      <c r="A89" s="563" t="s">
        <v>216</v>
      </c>
      <c r="B89" s="564"/>
      <c r="C89" s="564"/>
      <c r="D89" s="564"/>
      <c r="E89" s="564"/>
      <c r="F89" s="564"/>
      <c r="G89" s="565"/>
      <c r="H89" s="135">
        <f>+'Cifras Historicas'!H69</f>
        <v>8416000</v>
      </c>
      <c r="I89" s="135">
        <f>+'Cifras Historicas'!I69</f>
        <v>189865000</v>
      </c>
      <c r="J89" s="135">
        <f>+'Cifras Historicas'!J69</f>
        <v>161148076</v>
      </c>
      <c r="K89" s="135">
        <f>'Estrategias Operativas'!E28</f>
        <v>143837500.19387373</v>
      </c>
      <c r="L89" s="135">
        <f>'Estrategias Operativas'!F28</f>
        <v>139979915.50991854</v>
      </c>
      <c r="M89" s="135">
        <f>'Estrategias Operativas'!G28</f>
        <v>139948420.02892879</v>
      </c>
      <c r="N89" s="512">
        <f>'Estrategias Operativas'!H28</f>
        <v>144146312.83611655</v>
      </c>
      <c r="O89" s="135">
        <f>'Estrategias Operativas'!I28</f>
        <v>153261044.56252629</v>
      </c>
      <c r="P89" s="61"/>
    </row>
    <row r="90" spans="1:16" ht="15.6">
      <c r="A90" s="595" t="s">
        <v>20</v>
      </c>
      <c r="B90" s="596"/>
      <c r="C90" s="596"/>
      <c r="D90" s="596"/>
      <c r="E90" s="596"/>
      <c r="F90" s="596">
        <f t="shared" ref="F90:K90" si="19">F87-F88-F89</f>
        <v>0</v>
      </c>
      <c r="G90" s="636">
        <f t="shared" si="19"/>
        <v>0</v>
      </c>
      <c r="H90" s="145">
        <f t="shared" si="19"/>
        <v>9780000</v>
      </c>
      <c r="I90" s="145">
        <f t="shared" si="19"/>
        <v>-46543000</v>
      </c>
      <c r="J90" s="145">
        <f t="shared" si="19"/>
        <v>-149915508</v>
      </c>
      <c r="K90" s="145">
        <f t="shared" si="19"/>
        <v>-3811125.0414299667</v>
      </c>
      <c r="L90" s="145">
        <f t="shared" ref="L90:O90" si="20">L87-L88-L89</f>
        <v>43875944.178743452</v>
      </c>
      <c r="M90" s="145">
        <f t="shared" si="20"/>
        <v>43866072.091303319</v>
      </c>
      <c r="N90" s="513">
        <f t="shared" si="20"/>
        <v>45181878.789754093</v>
      </c>
      <c r="O90" s="145">
        <f t="shared" si="20"/>
        <v>48038841.940327168</v>
      </c>
      <c r="P90" s="61"/>
    </row>
    <row r="91" spans="1:16">
      <c r="A91" s="839" t="s">
        <v>23</v>
      </c>
      <c r="B91" s="840"/>
      <c r="C91" s="840"/>
      <c r="D91" s="840"/>
      <c r="E91" s="840"/>
      <c r="F91" s="5"/>
      <c r="G91" s="5"/>
      <c r="H91" s="5"/>
      <c r="I91" s="5"/>
      <c r="J91" s="6"/>
      <c r="K91" s="139"/>
      <c r="L91" s="139"/>
      <c r="M91" s="139"/>
      <c r="N91" s="139"/>
      <c r="O91" s="514"/>
      <c r="P91" s="124"/>
    </row>
    <row r="92" spans="1:16" ht="15.6">
      <c r="A92" s="563" t="s">
        <v>217</v>
      </c>
      <c r="B92" s="564"/>
      <c r="C92" s="564"/>
      <c r="D92" s="564"/>
      <c r="E92" s="564"/>
      <c r="F92" s="564"/>
      <c r="G92" s="565"/>
      <c r="H92" s="134">
        <f>+'Cifras Historicas'!H72</f>
        <v>12000</v>
      </c>
      <c r="I92" s="134">
        <f>+'Cifras Historicas'!I72</f>
        <v>5328000</v>
      </c>
      <c r="J92" s="134">
        <f>+'Cifras Historicas'!J72</f>
        <v>18359177</v>
      </c>
      <c r="K92" s="134">
        <f>K85*'Cifras Historicas'!$P$72</f>
        <v>8092841.5149283363</v>
      </c>
      <c r="L92" s="134">
        <f>L85*'Cifras Historicas'!$P$72</f>
        <v>7968503.0978929764</v>
      </c>
      <c r="M92" s="134">
        <f>M85*'Cifras Historicas'!$P$72</f>
        <v>7966710.1846959498</v>
      </c>
      <c r="N92" s="134">
        <f>N85*'Cifras Historicas'!$P$72</f>
        <v>8205679.6233960902</v>
      </c>
      <c r="O92" s="134">
        <f>O85*'Cifras Historicas'!$P$72</f>
        <v>8724545.2601824813</v>
      </c>
      <c r="P92" s="61"/>
    </row>
    <row r="93" spans="1:16" ht="15.6">
      <c r="A93" s="563" t="s">
        <v>218</v>
      </c>
      <c r="B93" s="564"/>
      <c r="C93" s="564"/>
      <c r="D93" s="564"/>
      <c r="E93" s="564"/>
      <c r="F93" s="564"/>
      <c r="G93" s="565"/>
      <c r="H93" s="134">
        <f>+'Cifras Historicas'!H73</f>
        <v>0</v>
      </c>
      <c r="I93" s="134">
        <f>+'Cifras Historicas'!I73</f>
        <v>0</v>
      </c>
      <c r="J93" s="134">
        <f>+'Cifras Historicas'!J73</f>
        <v>0</v>
      </c>
      <c r="K93" s="135">
        <f>K85*'Cifras Historicas'!$P$73</f>
        <v>0</v>
      </c>
      <c r="L93" s="135">
        <f>L85*'Cifras Historicas'!$P$73</f>
        <v>0</v>
      </c>
      <c r="M93" s="135">
        <f>M85*'Cifras Historicas'!$P$73</f>
        <v>0</v>
      </c>
      <c r="N93" s="135">
        <f>N85*'Cifras Historicas'!$P$73</f>
        <v>0</v>
      </c>
      <c r="O93" s="135">
        <f>O85*'Cifras Historicas'!$P$73</f>
        <v>0</v>
      </c>
      <c r="P93" s="61"/>
    </row>
    <row r="94" spans="1:16" ht="15.6">
      <c r="A94" s="563" t="s">
        <v>219</v>
      </c>
      <c r="B94" s="564"/>
      <c r="C94" s="564"/>
      <c r="D94" s="564"/>
      <c r="E94" s="564"/>
      <c r="F94" s="564"/>
      <c r="G94" s="565"/>
      <c r="H94" s="134">
        <f>+'Cifras Historicas'!H74</f>
        <v>273000</v>
      </c>
      <c r="I94" s="134">
        <f>+'Cifras Historicas'!I74</f>
        <v>13882000</v>
      </c>
      <c r="J94" s="134">
        <f>+'Cifras Historicas'!J74</f>
        <v>40575654</v>
      </c>
      <c r="K94" s="135">
        <v>0</v>
      </c>
      <c r="L94" s="135">
        <v>0</v>
      </c>
      <c r="M94" s="135">
        <v>0</v>
      </c>
      <c r="N94" s="135">
        <v>0</v>
      </c>
      <c r="O94" s="135">
        <v>0</v>
      </c>
      <c r="P94" s="61"/>
    </row>
    <row r="95" spans="1:16">
      <c r="A95" s="839" t="s">
        <v>24</v>
      </c>
      <c r="B95" s="840"/>
      <c r="C95" s="840"/>
      <c r="D95" s="840"/>
      <c r="E95" s="840"/>
      <c r="F95" s="5"/>
      <c r="G95" s="5"/>
      <c r="H95" s="5"/>
      <c r="I95" s="5"/>
      <c r="J95" s="6"/>
      <c r="K95" s="139"/>
      <c r="L95" s="139"/>
      <c r="M95" s="139"/>
      <c r="N95" s="139"/>
      <c r="O95" s="514"/>
      <c r="P95" s="124"/>
    </row>
    <row r="96" spans="1:16" ht="15.6">
      <c r="A96" s="595" t="s">
        <v>21</v>
      </c>
      <c r="B96" s="596"/>
      <c r="C96" s="596"/>
      <c r="D96" s="596"/>
      <c r="E96" s="596"/>
      <c r="F96" s="596"/>
      <c r="G96" s="636"/>
      <c r="H96" s="145">
        <f t="shared" ref="H96:K96" si="21">H90+H92-H93-H94</f>
        <v>9519000</v>
      </c>
      <c r="I96" s="145">
        <f t="shared" si="21"/>
        <v>-55097000</v>
      </c>
      <c r="J96" s="145">
        <f t="shared" si="21"/>
        <v>-172131985</v>
      </c>
      <c r="K96" s="145">
        <f t="shared" si="21"/>
        <v>4281716.4734983696</v>
      </c>
      <c r="L96" s="145">
        <f t="shared" ref="L96:O96" si="22">L90+L92-L93-L94</f>
        <v>51844447.276636429</v>
      </c>
      <c r="M96" s="145">
        <f t="shared" si="22"/>
        <v>51832782.27599927</v>
      </c>
      <c r="N96" s="145">
        <f t="shared" si="22"/>
        <v>53387558.413150184</v>
      </c>
      <c r="O96" s="145">
        <f t="shared" si="22"/>
        <v>56763387.200509652</v>
      </c>
      <c r="P96" s="61"/>
    </row>
    <row r="97" spans="1:19" ht="15.6">
      <c r="A97" s="563" t="s">
        <v>220</v>
      </c>
      <c r="B97" s="564"/>
      <c r="C97" s="564"/>
      <c r="D97" s="564"/>
      <c r="E97" s="564"/>
      <c r="F97" s="564"/>
      <c r="G97" s="565"/>
      <c r="H97" s="135">
        <f>+'Cifras Historicas'!H77</f>
        <v>3320000</v>
      </c>
      <c r="I97" s="135">
        <f>+'Cifras Historicas'!I77</f>
        <v>221000</v>
      </c>
      <c r="J97" s="135">
        <f>+'Cifras Historicas'!J77</f>
        <v>287000</v>
      </c>
      <c r="K97" s="135">
        <f>IF(K96&lt;0,0,K96*33%)</f>
        <v>1412966.436254462</v>
      </c>
      <c r="L97" s="135">
        <f t="shared" ref="L97:O97" si="23">IF(L96&lt;0,0,L96*33%)</f>
        <v>17108667.601290021</v>
      </c>
      <c r="M97" s="135">
        <f t="shared" si="23"/>
        <v>17104818.151079759</v>
      </c>
      <c r="N97" s="135">
        <f t="shared" si="23"/>
        <v>17617894.276339561</v>
      </c>
      <c r="O97" s="135">
        <f t="shared" si="23"/>
        <v>18731917.776168186</v>
      </c>
      <c r="P97" s="61"/>
    </row>
    <row r="98" spans="1:19" ht="15.6">
      <c r="A98" s="595" t="s">
        <v>221</v>
      </c>
      <c r="B98" s="596"/>
      <c r="C98" s="596"/>
      <c r="D98" s="596"/>
      <c r="E98" s="596"/>
      <c r="F98" s="596"/>
      <c r="G98" s="636"/>
      <c r="H98" s="145">
        <f t="shared" ref="H98:K98" si="24">H96-H97</f>
        <v>6199000</v>
      </c>
      <c r="I98" s="145">
        <f t="shared" si="24"/>
        <v>-55318000</v>
      </c>
      <c r="J98" s="145">
        <f t="shared" si="24"/>
        <v>-172418985</v>
      </c>
      <c r="K98" s="145">
        <f t="shared" si="24"/>
        <v>2868750.0372439073</v>
      </c>
      <c r="L98" s="145">
        <f t="shared" ref="L98:O98" si="25">L96-L97</f>
        <v>34735779.675346404</v>
      </c>
      <c r="M98" s="145">
        <f t="shared" si="25"/>
        <v>34727964.124919511</v>
      </c>
      <c r="N98" s="145">
        <f t="shared" si="25"/>
        <v>35769664.136810623</v>
      </c>
      <c r="O98" s="145">
        <f t="shared" si="25"/>
        <v>38031469.42434147</v>
      </c>
      <c r="P98" s="61"/>
    </row>
    <row r="99" spans="1:19">
      <c r="K99" s="37"/>
      <c r="L99" s="37"/>
      <c r="M99" s="37"/>
      <c r="N99" s="37"/>
      <c r="O99" s="37"/>
    </row>
    <row r="100" spans="1:19">
      <c r="F100" s="121"/>
      <c r="G100" s="121"/>
      <c r="H100" s="121"/>
      <c r="I100" s="121"/>
      <c r="J100" s="121"/>
    </row>
    <row r="101" spans="1:19" ht="15" thickBot="1"/>
    <row r="102" spans="1:19">
      <c r="A102" s="859" t="s">
        <v>222</v>
      </c>
      <c r="B102" s="860"/>
      <c r="C102" s="860"/>
      <c r="D102" s="860"/>
      <c r="E102" s="860"/>
      <c r="F102" s="860"/>
      <c r="G102" s="861"/>
      <c r="H102" s="143">
        <f t="shared" ref="H102:O102" si="26">H83</f>
        <v>2017</v>
      </c>
      <c r="I102" s="143">
        <f t="shared" si="26"/>
        <v>2018</v>
      </c>
      <c r="J102" s="144">
        <f t="shared" si="26"/>
        <v>2019</v>
      </c>
      <c r="K102" s="454">
        <f t="shared" si="26"/>
        <v>2020</v>
      </c>
      <c r="L102" s="129">
        <f t="shared" si="26"/>
        <v>2021</v>
      </c>
      <c r="M102" s="129">
        <f t="shared" si="26"/>
        <v>2022</v>
      </c>
      <c r="N102" s="129">
        <f t="shared" si="26"/>
        <v>2023</v>
      </c>
      <c r="O102" s="130">
        <f t="shared" si="26"/>
        <v>2024</v>
      </c>
    </row>
    <row r="103" spans="1:19" ht="15.6">
      <c r="A103" s="856" t="s">
        <v>223</v>
      </c>
      <c r="B103" s="857"/>
      <c r="C103" s="857"/>
      <c r="D103" s="857"/>
      <c r="E103" s="857"/>
      <c r="F103" s="857"/>
      <c r="G103" s="858"/>
      <c r="H103" s="134">
        <f>+'Analisis Financiero'!H103</f>
        <v>722000</v>
      </c>
      <c r="I103" s="134">
        <f>+'Analisis Financiero'!I103</f>
        <v>12019000</v>
      </c>
      <c r="J103" s="439">
        <f>+'Analisis Financiero'!J103</f>
        <v>10589174</v>
      </c>
      <c r="K103" s="455">
        <f>AVERAGE(F103:J103)</f>
        <v>7776724.666666667</v>
      </c>
      <c r="L103" s="36">
        <f t="shared" ref="L103:O103" si="27">AVERAGE(G103:K103)</f>
        <v>7776724.666666667</v>
      </c>
      <c r="M103" s="36">
        <f t="shared" si="27"/>
        <v>7776724.666666667</v>
      </c>
      <c r="N103" s="36">
        <f t="shared" si="27"/>
        <v>9187669.5999999996</v>
      </c>
      <c r="O103" s="36">
        <f t="shared" si="27"/>
        <v>8621403.5199999996</v>
      </c>
    </row>
    <row r="104" spans="1:19" ht="16.2" thickBot="1">
      <c r="A104" s="456" t="s">
        <v>224</v>
      </c>
      <c r="B104" s="457"/>
      <c r="C104" s="457"/>
      <c r="D104" s="457"/>
      <c r="E104" s="457"/>
      <c r="F104" s="457"/>
      <c r="G104" s="458"/>
      <c r="H104" s="441">
        <f>+'Analisis Financiero'!H104</f>
        <v>0</v>
      </c>
      <c r="I104" s="441">
        <f>+'Analisis Financiero'!I104</f>
        <v>76000</v>
      </c>
      <c r="J104" s="442">
        <f>+'Analisis Financiero'!J104</f>
        <v>1839800</v>
      </c>
      <c r="K104" s="455">
        <f>AVERAGE(F104:J104)</f>
        <v>638600</v>
      </c>
      <c r="L104" s="36">
        <f t="shared" ref="L104:O104" si="28">AVERAGE(G104:K104)</f>
        <v>638600</v>
      </c>
      <c r="M104" s="36">
        <f t="shared" si="28"/>
        <v>638600</v>
      </c>
      <c r="N104" s="36">
        <f t="shared" si="28"/>
        <v>766320</v>
      </c>
      <c r="O104" s="36">
        <f t="shared" si="28"/>
        <v>904384</v>
      </c>
    </row>
    <row r="108" spans="1:19">
      <c r="P108" s="124"/>
      <c r="Q108" s="124"/>
    </row>
    <row r="109" spans="1:19">
      <c r="P109" s="140"/>
      <c r="Q109" s="286"/>
    </row>
    <row r="110" spans="1:19">
      <c r="A110" s="569" t="s">
        <v>374</v>
      </c>
      <c r="B110" s="569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140"/>
      <c r="Q110" s="286"/>
      <c r="R110" s="40"/>
      <c r="S110" s="40"/>
    </row>
    <row r="111" spans="1:19">
      <c r="A111" s="1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2"/>
      <c r="Q111" s="286"/>
      <c r="R111" s="40"/>
      <c r="S111" s="40"/>
    </row>
    <row r="112" spans="1:19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287"/>
      <c r="Q112" s="287"/>
      <c r="R112" s="40"/>
      <c r="S112" s="40"/>
    </row>
    <row r="113" spans="1:21">
      <c r="A113" s="351" t="s">
        <v>267</v>
      </c>
      <c r="B113" s="336" t="s">
        <v>402</v>
      </c>
      <c r="C113" s="336" t="s">
        <v>403</v>
      </c>
      <c r="D113" s="336" t="s">
        <v>404</v>
      </c>
      <c r="E113" s="336" t="s">
        <v>405</v>
      </c>
      <c r="F113" s="336" t="s">
        <v>406</v>
      </c>
      <c r="G113" s="40"/>
      <c r="H113" s="40"/>
      <c r="I113" s="40"/>
      <c r="J113" s="40"/>
      <c r="K113" s="40"/>
      <c r="L113" s="40"/>
      <c r="M113" s="40"/>
      <c r="N113" s="40"/>
      <c r="O113" s="40"/>
      <c r="P113" s="140"/>
      <c r="Q113" s="287"/>
      <c r="R113" s="40"/>
      <c r="S113" s="40"/>
      <c r="T113" s="40"/>
      <c r="U113" s="40"/>
    </row>
    <row r="114" spans="1:21">
      <c r="A114" s="303" t="s">
        <v>268</v>
      </c>
      <c r="B114" s="342">
        <f>+K98</f>
        <v>2868750.0372439073</v>
      </c>
      <c r="C114" s="342">
        <f t="shared" ref="C114:F114" si="29">+L98</f>
        <v>34735779.675346404</v>
      </c>
      <c r="D114" s="342">
        <f t="shared" si="29"/>
        <v>34727964.124919511</v>
      </c>
      <c r="E114" s="342">
        <f t="shared" si="29"/>
        <v>35769664.136810623</v>
      </c>
      <c r="F114" s="342">
        <f t="shared" si="29"/>
        <v>38031469.42434147</v>
      </c>
      <c r="G114" s="40"/>
      <c r="H114" s="40"/>
      <c r="I114" s="40"/>
      <c r="J114" s="40"/>
      <c r="K114" s="40"/>
      <c r="L114" s="40"/>
      <c r="M114" s="40"/>
      <c r="N114" s="40"/>
      <c r="O114" s="40"/>
      <c r="P114" s="42"/>
      <c r="Q114" s="286"/>
      <c r="R114" s="40"/>
      <c r="S114" s="40"/>
      <c r="T114" s="40"/>
      <c r="U114" s="40"/>
    </row>
    <row r="115" spans="1:21">
      <c r="A115" s="391" t="s">
        <v>269</v>
      </c>
      <c r="B115" s="342">
        <f>+K97</f>
        <v>1412966.436254462</v>
      </c>
      <c r="C115" s="342">
        <f t="shared" ref="C115:F115" si="30">+L97</f>
        <v>17108667.601290021</v>
      </c>
      <c r="D115" s="342">
        <f t="shared" si="30"/>
        <v>17104818.151079759</v>
      </c>
      <c r="E115" s="342">
        <f t="shared" si="30"/>
        <v>17617894.276339561</v>
      </c>
      <c r="F115" s="342">
        <f t="shared" si="30"/>
        <v>18731917.776168186</v>
      </c>
      <c r="G115" s="40"/>
      <c r="H115" s="40"/>
      <c r="I115" s="40"/>
      <c r="J115" s="40"/>
      <c r="K115" s="40"/>
      <c r="L115" s="40"/>
      <c r="M115" s="40"/>
      <c r="N115" s="40"/>
      <c r="O115" s="40"/>
      <c r="P115" s="42"/>
      <c r="Q115" s="286"/>
      <c r="R115" s="40"/>
      <c r="S115" s="40"/>
      <c r="T115" s="40"/>
      <c r="U115" s="40"/>
    </row>
    <row r="116" spans="1:21">
      <c r="A116" s="391" t="s">
        <v>270</v>
      </c>
      <c r="B116" s="342">
        <f>+K94</f>
        <v>0</v>
      </c>
      <c r="C116" s="342">
        <f t="shared" ref="C116:F116" si="31">+L94</f>
        <v>0</v>
      </c>
      <c r="D116" s="342">
        <f t="shared" si="31"/>
        <v>0</v>
      </c>
      <c r="E116" s="342">
        <f t="shared" si="31"/>
        <v>0</v>
      </c>
      <c r="F116" s="342">
        <f t="shared" si="31"/>
        <v>0</v>
      </c>
      <c r="G116" s="40"/>
      <c r="H116" s="40"/>
      <c r="I116" s="40"/>
      <c r="J116" s="40"/>
      <c r="K116" s="40"/>
      <c r="L116" s="40"/>
      <c r="M116" s="40"/>
      <c r="N116" s="40"/>
      <c r="O116" s="40"/>
      <c r="P116" s="42"/>
      <c r="Q116" s="286"/>
      <c r="R116" s="40"/>
      <c r="S116" s="40"/>
      <c r="T116" s="40"/>
      <c r="U116" s="40"/>
    </row>
    <row r="117" spans="1:21">
      <c r="A117" s="337" t="s">
        <v>80</v>
      </c>
      <c r="B117" s="352">
        <f>+B114+B115+B116</f>
        <v>4281716.4734983696</v>
      </c>
      <c r="C117" s="352">
        <f t="shared" ref="C117:F117" si="32">+C114+C115+C116</f>
        <v>51844447.276636422</v>
      </c>
      <c r="D117" s="352">
        <f t="shared" si="32"/>
        <v>51832782.27599927</v>
      </c>
      <c r="E117" s="352">
        <f t="shared" si="32"/>
        <v>53387558.413150184</v>
      </c>
      <c r="F117" s="352">
        <f t="shared" si="32"/>
        <v>56763387.200509652</v>
      </c>
      <c r="G117" s="40"/>
      <c r="H117" s="40"/>
      <c r="I117" s="40"/>
      <c r="J117" s="40"/>
      <c r="K117" s="40"/>
      <c r="L117" s="40"/>
      <c r="M117" s="40"/>
      <c r="N117" s="40"/>
      <c r="O117" s="40"/>
      <c r="P117" s="140"/>
      <c r="Q117" s="287"/>
      <c r="R117" s="40"/>
      <c r="S117" s="40"/>
      <c r="T117" s="40"/>
      <c r="U117" s="40"/>
    </row>
    <row r="118" spans="1:21">
      <c r="A118" s="391" t="s">
        <v>223</v>
      </c>
      <c r="B118" s="342">
        <f>+K103</f>
        <v>7776724.666666667</v>
      </c>
      <c r="C118" s="342">
        <f t="shared" ref="C118:F118" si="33">+L103</f>
        <v>7776724.666666667</v>
      </c>
      <c r="D118" s="342">
        <f t="shared" si="33"/>
        <v>7776724.666666667</v>
      </c>
      <c r="E118" s="342">
        <f t="shared" si="33"/>
        <v>9187669.5999999996</v>
      </c>
      <c r="F118" s="342">
        <f t="shared" si="33"/>
        <v>8621403.5199999996</v>
      </c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</row>
    <row r="119" spans="1:21">
      <c r="A119" s="391" t="s">
        <v>224</v>
      </c>
      <c r="B119" s="342">
        <f>+K104</f>
        <v>638600</v>
      </c>
      <c r="C119" s="342">
        <f t="shared" ref="C119:F119" si="34">+L104</f>
        <v>638600</v>
      </c>
      <c r="D119" s="342">
        <f t="shared" si="34"/>
        <v>638600</v>
      </c>
      <c r="E119" s="342">
        <f t="shared" si="34"/>
        <v>766320</v>
      </c>
      <c r="F119" s="342">
        <f t="shared" si="34"/>
        <v>904384</v>
      </c>
      <c r="G119" s="336" t="s">
        <v>231</v>
      </c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</row>
    <row r="120" spans="1:21">
      <c r="A120" s="337" t="s">
        <v>266</v>
      </c>
      <c r="B120" s="352">
        <f>+B117+B118+B119</f>
        <v>12697041.140165037</v>
      </c>
      <c r="C120" s="352">
        <f t="shared" ref="C120:F120" si="35">+C117+C118+C119</f>
        <v>60259771.943303086</v>
      </c>
      <c r="D120" s="352">
        <f t="shared" si="35"/>
        <v>60248106.942665935</v>
      </c>
      <c r="E120" s="352">
        <f t="shared" si="35"/>
        <v>63341548.013150185</v>
      </c>
      <c r="F120" s="352">
        <f t="shared" si="35"/>
        <v>66289174.720509648</v>
      </c>
      <c r="G120" s="353">
        <f>+AVERAGE(B120:F120)</f>
        <v>52567128.551958777</v>
      </c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</row>
    <row r="121" spans="1:21">
      <c r="A121" s="140"/>
      <c r="B121" s="140"/>
      <c r="C121" s="140"/>
      <c r="D121" s="140"/>
      <c r="E121" s="140"/>
      <c r="F121" s="1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</row>
    <row r="122" spans="1:2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</row>
    <row r="123" spans="1:21">
      <c r="A123" s="351" t="s">
        <v>271</v>
      </c>
      <c r="B123" s="336" t="s">
        <v>402</v>
      </c>
      <c r="C123" s="336" t="s">
        <v>403</v>
      </c>
      <c r="D123" s="336" t="s">
        <v>404</v>
      </c>
      <c r="E123" s="336" t="s">
        <v>405</v>
      </c>
      <c r="F123" s="336" t="s">
        <v>406</v>
      </c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</row>
    <row r="124" spans="1:21">
      <c r="A124" s="303" t="s">
        <v>272</v>
      </c>
      <c r="B124" s="342">
        <f>+K90</f>
        <v>-3811125.0414299667</v>
      </c>
      <c r="C124" s="342">
        <f t="shared" ref="C124:F124" si="36">+L90</f>
        <v>43875944.178743452</v>
      </c>
      <c r="D124" s="342">
        <f t="shared" si="36"/>
        <v>43866072.091303319</v>
      </c>
      <c r="E124" s="342">
        <f t="shared" si="36"/>
        <v>45181878.789754093</v>
      </c>
      <c r="F124" s="342">
        <f t="shared" si="36"/>
        <v>48038841.940327168</v>
      </c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</row>
    <row r="125" spans="1:21">
      <c r="A125" s="391" t="s">
        <v>223</v>
      </c>
      <c r="B125" s="342">
        <f>+K103</f>
        <v>7776724.666666667</v>
      </c>
      <c r="C125" s="342">
        <f t="shared" ref="C125:F125" si="37">+L103</f>
        <v>7776724.666666667</v>
      </c>
      <c r="D125" s="342">
        <f t="shared" si="37"/>
        <v>7776724.666666667</v>
      </c>
      <c r="E125" s="342">
        <f t="shared" si="37"/>
        <v>9187669.5999999996</v>
      </c>
      <c r="F125" s="342">
        <f t="shared" si="37"/>
        <v>8621403.5199999996</v>
      </c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</row>
    <row r="126" spans="1:21">
      <c r="A126" s="391" t="s">
        <v>224</v>
      </c>
      <c r="B126" s="342">
        <f>+K104</f>
        <v>638600</v>
      </c>
      <c r="C126" s="342">
        <f t="shared" ref="C126:F126" si="38">+L104</f>
        <v>638600</v>
      </c>
      <c r="D126" s="342">
        <f t="shared" si="38"/>
        <v>638600</v>
      </c>
      <c r="E126" s="342">
        <f t="shared" si="38"/>
        <v>766320</v>
      </c>
      <c r="F126" s="342">
        <f t="shared" si="38"/>
        <v>904384</v>
      </c>
      <c r="G126" s="336" t="s">
        <v>231</v>
      </c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</row>
    <row r="127" spans="1:21">
      <c r="A127" s="337" t="s">
        <v>266</v>
      </c>
      <c r="B127" s="354">
        <f>B124+B125+B126</f>
        <v>4604199.6252367003</v>
      </c>
      <c r="C127" s="354">
        <f t="shared" ref="C127:F127" si="39">C124+C125+C126</f>
        <v>52291268.845410116</v>
      </c>
      <c r="D127" s="354">
        <f t="shared" si="39"/>
        <v>52281396.757969983</v>
      </c>
      <c r="E127" s="354">
        <f t="shared" si="39"/>
        <v>55135868.389754094</v>
      </c>
      <c r="F127" s="354">
        <f t="shared" si="39"/>
        <v>57564629.460327163</v>
      </c>
      <c r="G127" s="353">
        <f>+AVERAGE(B127:F127)</f>
        <v>44375472.615739606</v>
      </c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</row>
    <row r="128" spans="1:2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</row>
    <row r="129" spans="1:2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</row>
    <row r="130" spans="1:21">
      <c r="A130" s="140"/>
      <c r="B130" s="336" t="s">
        <v>402</v>
      </c>
      <c r="C130" s="336" t="s">
        <v>403</v>
      </c>
      <c r="D130" s="336" t="s">
        <v>404</v>
      </c>
      <c r="E130" s="336" t="s">
        <v>405</v>
      </c>
      <c r="F130" s="336" t="s">
        <v>406</v>
      </c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</row>
    <row r="131" spans="1:21">
      <c r="A131" s="51" t="s">
        <v>29</v>
      </c>
      <c r="B131" s="342">
        <f>+K85</f>
        <v>1484831345.9045</v>
      </c>
      <c r="C131" s="342">
        <f t="shared" ref="C131:F131" si="40">+L85</f>
        <v>1462018397.1060231</v>
      </c>
      <c r="D131" s="342">
        <f t="shared" si="40"/>
        <v>1461689442.9666741</v>
      </c>
      <c r="E131" s="342">
        <f t="shared" si="40"/>
        <v>1505534279.4979026</v>
      </c>
      <c r="F131" s="342">
        <f t="shared" si="40"/>
        <v>1600732975.8262534</v>
      </c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</row>
    <row r="132" spans="1:21">
      <c r="A132" s="51" t="s">
        <v>30</v>
      </c>
      <c r="B132" s="342">
        <f>+B127</f>
        <v>4604199.6252367003</v>
      </c>
      <c r="C132" s="342">
        <f t="shared" ref="C132:F132" si="41">+C127</f>
        <v>52291268.845410116</v>
      </c>
      <c r="D132" s="342">
        <f t="shared" si="41"/>
        <v>52281396.757969983</v>
      </c>
      <c r="E132" s="342">
        <f t="shared" si="41"/>
        <v>55135868.389754094</v>
      </c>
      <c r="F132" s="342">
        <f t="shared" si="41"/>
        <v>57564629.460327163</v>
      </c>
      <c r="G132" s="336" t="s">
        <v>231</v>
      </c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</row>
    <row r="133" spans="1:21">
      <c r="A133" s="337" t="s">
        <v>273</v>
      </c>
      <c r="B133" s="355">
        <f>+B132/B131</f>
        <v>3.1008232941310957E-3</v>
      </c>
      <c r="C133" s="355">
        <f t="shared" ref="C133:F133" si="42">+C132/C131</f>
        <v>3.5766491686368321E-2</v>
      </c>
      <c r="D133" s="355">
        <f t="shared" si="42"/>
        <v>3.5767787069638145E-2</v>
      </c>
      <c r="E133" s="355">
        <f t="shared" si="42"/>
        <v>3.662212753345076E-2</v>
      </c>
      <c r="F133" s="355">
        <f t="shared" si="42"/>
        <v>3.5961419130891535E-2</v>
      </c>
      <c r="G133" s="356">
        <f>+AVERAGE(B133:F133)</f>
        <v>2.9443729742895976E-2</v>
      </c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</row>
    <row r="134" spans="1:2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</row>
    <row r="135" spans="1:2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</row>
    <row r="136" spans="1:2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</row>
    <row r="137" spans="1:21">
      <c r="A137" s="357" t="s">
        <v>274</v>
      </c>
      <c r="B137" s="336" t="s">
        <v>402</v>
      </c>
      <c r="C137" s="336" t="s">
        <v>403</v>
      </c>
      <c r="D137" s="336" t="s">
        <v>404</v>
      </c>
      <c r="E137" s="336" t="s">
        <v>405</v>
      </c>
      <c r="F137" s="336" t="s">
        <v>406</v>
      </c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</row>
    <row r="138" spans="1:21">
      <c r="A138" s="51" t="s">
        <v>275</v>
      </c>
      <c r="B138" s="358">
        <f>+K42</f>
        <v>121169035.3998</v>
      </c>
      <c r="C138" s="358">
        <f t="shared" ref="C138:F138" si="43">+L42</f>
        <v>119307394.33991745</v>
      </c>
      <c r="D138" s="358">
        <f t="shared" si="43"/>
        <v>119280550.17619096</v>
      </c>
      <c r="E138" s="358">
        <f t="shared" si="43"/>
        <v>122858489.559276</v>
      </c>
      <c r="F138" s="358">
        <f t="shared" si="43"/>
        <v>130627139.00033289</v>
      </c>
      <c r="G138" s="42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</row>
    <row r="139" spans="1:21">
      <c r="A139" s="51" t="s">
        <v>276</v>
      </c>
      <c r="B139" s="358">
        <f>+K43</f>
        <v>59391569.340000004</v>
      </c>
      <c r="C139" s="358">
        <f t="shared" ref="C139:F139" si="44">+L43</f>
        <v>58479077.268660232</v>
      </c>
      <c r="D139" s="358">
        <f t="shared" si="44"/>
        <v>58465919.476274773</v>
      </c>
      <c r="E139" s="358">
        <f t="shared" si="44"/>
        <v>60219663.196885116</v>
      </c>
      <c r="F139" s="358">
        <f t="shared" si="44"/>
        <v>64027503.049982145</v>
      </c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1">
      <c r="A140" s="51" t="s">
        <v>277</v>
      </c>
      <c r="B140" s="342">
        <f>+K58</f>
        <v>179420194.7518</v>
      </c>
      <c r="C140" s="342">
        <f t="shared" ref="C140:F140" si="45">+L58</f>
        <v>176663582.87963331</v>
      </c>
      <c r="D140" s="342">
        <f t="shared" si="45"/>
        <v>176623833.57348537</v>
      </c>
      <c r="E140" s="342">
        <f t="shared" si="45"/>
        <v>181921842.08535567</v>
      </c>
      <c r="F140" s="342">
        <f t="shared" si="45"/>
        <v>193425214.96501788</v>
      </c>
      <c r="G140" s="336" t="s">
        <v>231</v>
      </c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1">
      <c r="A141" s="337" t="s">
        <v>278</v>
      </c>
      <c r="B141" s="352">
        <f>+B138+B139-B140</f>
        <v>1140409.9880000055</v>
      </c>
      <c r="C141" s="352">
        <f t="shared" ref="C141:F141" si="46">+C138+C139-C140</f>
        <v>1122888.7289443612</v>
      </c>
      <c r="D141" s="352">
        <f t="shared" si="46"/>
        <v>1122636.0789803565</v>
      </c>
      <c r="E141" s="352">
        <f t="shared" si="46"/>
        <v>1156310.6708054543</v>
      </c>
      <c r="F141" s="352">
        <f t="shared" si="46"/>
        <v>1229427.0852971375</v>
      </c>
      <c r="G141" s="353">
        <f>+AVERAGE(B141:F141)</f>
        <v>1154334.5104054629</v>
      </c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1">
      <c r="A143" s="140"/>
      <c r="B143" s="359"/>
      <c r="C143" s="359"/>
      <c r="D143" s="359"/>
      <c r="E143" s="359"/>
      <c r="F143" s="359"/>
      <c r="G143" s="42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</row>
    <row r="145" spans="1:21">
      <c r="A145" s="40"/>
      <c r="B145" s="336" t="s">
        <v>402</v>
      </c>
      <c r="C145" s="336" t="s">
        <v>403</v>
      </c>
      <c r="D145" s="336" t="s">
        <v>404</v>
      </c>
      <c r="E145" s="336" t="s">
        <v>405</v>
      </c>
      <c r="F145" s="336" t="s">
        <v>406</v>
      </c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1">
      <c r="A146" s="51" t="s">
        <v>29</v>
      </c>
      <c r="B146" s="443">
        <f>+K85</f>
        <v>1484831345.9045</v>
      </c>
      <c r="C146" s="443">
        <f t="shared" ref="C146:F146" si="47">+L85</f>
        <v>1462018397.1060231</v>
      </c>
      <c r="D146" s="443">
        <f t="shared" si="47"/>
        <v>1461689442.9666741</v>
      </c>
      <c r="E146" s="443">
        <f t="shared" si="47"/>
        <v>1505534279.4979026</v>
      </c>
      <c r="F146" s="443">
        <f t="shared" si="47"/>
        <v>1600732975.8262534</v>
      </c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1">
      <c r="A147" s="51" t="s">
        <v>278</v>
      </c>
      <c r="B147" s="443">
        <f>+B141</f>
        <v>1140409.9880000055</v>
      </c>
      <c r="C147" s="443">
        <f t="shared" ref="C147:F147" si="48">+C141</f>
        <v>1122888.7289443612</v>
      </c>
      <c r="D147" s="443">
        <f t="shared" si="48"/>
        <v>1122636.0789803565</v>
      </c>
      <c r="E147" s="443">
        <f t="shared" si="48"/>
        <v>1156310.6708054543</v>
      </c>
      <c r="F147" s="443">
        <f t="shared" si="48"/>
        <v>1229427.0852971375</v>
      </c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1">
      <c r="A148" s="51" t="s">
        <v>279</v>
      </c>
      <c r="B148" s="444">
        <f>+B147/B146</f>
        <v>7.680400815523687E-4</v>
      </c>
      <c r="C148" s="444">
        <f t="shared" ref="C148:F148" si="49">+C147/C146</f>
        <v>7.6804008155236046E-4</v>
      </c>
      <c r="D148" s="444">
        <f t="shared" si="49"/>
        <v>7.6804008155236577E-4</v>
      </c>
      <c r="E148" s="444">
        <f t="shared" si="49"/>
        <v>7.6804008155236772E-4</v>
      </c>
      <c r="F148" s="444">
        <f t="shared" si="49"/>
        <v>7.6804008155235374E-4</v>
      </c>
      <c r="G148" s="336" t="s">
        <v>231</v>
      </c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1">
      <c r="A149" s="337" t="s">
        <v>280</v>
      </c>
      <c r="B149" s="445">
        <f>+B148</f>
        <v>7.680400815523687E-4</v>
      </c>
      <c r="C149" s="445">
        <f t="shared" ref="C149:F149" si="50">+C148</f>
        <v>7.6804008155236046E-4</v>
      </c>
      <c r="D149" s="445">
        <f t="shared" si="50"/>
        <v>7.6804008155236577E-4</v>
      </c>
      <c r="E149" s="445">
        <f t="shared" si="50"/>
        <v>7.6804008155236772E-4</v>
      </c>
      <c r="F149" s="445">
        <f t="shared" si="50"/>
        <v>7.6804008155235374E-4</v>
      </c>
      <c r="G149" s="509">
        <f>+AVERAGE(B149:F149)</f>
        <v>7.6804008155236317E-4</v>
      </c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1">
      <c r="A152" s="1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</row>
    <row r="153" spans="1:21">
      <c r="A153" s="335" t="s">
        <v>282</v>
      </c>
      <c r="B153" s="336" t="s">
        <v>402</v>
      </c>
      <c r="C153" s="336" t="s">
        <v>403</v>
      </c>
      <c r="D153" s="336" t="s">
        <v>404</v>
      </c>
      <c r="E153" s="336" t="s">
        <v>405</v>
      </c>
      <c r="F153" s="336" t="s">
        <v>406</v>
      </c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1">
      <c r="A154" s="51" t="s">
        <v>29</v>
      </c>
      <c r="B154" s="305">
        <f>+B146</f>
        <v>1484831345.9045</v>
      </c>
      <c r="C154" s="305">
        <f t="shared" ref="C154:F154" si="51">+C146</f>
        <v>1462018397.1060231</v>
      </c>
      <c r="D154" s="305">
        <f t="shared" si="51"/>
        <v>1461689442.9666741</v>
      </c>
      <c r="E154" s="305">
        <f t="shared" si="51"/>
        <v>1505534279.4979026</v>
      </c>
      <c r="F154" s="305">
        <f t="shared" si="51"/>
        <v>1600732975.8262534</v>
      </c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</row>
    <row r="155" spans="1:21">
      <c r="A155" s="51" t="s">
        <v>281</v>
      </c>
      <c r="B155" s="342">
        <f>+K49</f>
        <v>125440707.96619999</v>
      </c>
      <c r="C155" s="342">
        <f t="shared" ref="C155:F155" si="52">+L49</f>
        <v>123513436.92900728</v>
      </c>
      <c r="D155" s="342">
        <f t="shared" si="52"/>
        <v>123485646.40569824</v>
      </c>
      <c r="E155" s="342">
        <f t="shared" si="52"/>
        <v>127189721.85528357</v>
      </c>
      <c r="F155" s="342">
        <f t="shared" si="52"/>
        <v>135232245.94249776</v>
      </c>
      <c r="G155" s="336" t="s">
        <v>231</v>
      </c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</row>
    <row r="156" spans="1:21">
      <c r="A156" s="337" t="s">
        <v>282</v>
      </c>
      <c r="B156" s="361">
        <f>+B154/B155</f>
        <v>11.836917775564435</v>
      </c>
      <c r="C156" s="361">
        <f t="shared" ref="C156:F156" si="53">+C154/C155</f>
        <v>11.836917775564435</v>
      </c>
      <c r="D156" s="361">
        <f t="shared" si="53"/>
        <v>11.836917775564435</v>
      </c>
      <c r="E156" s="361">
        <f t="shared" si="53"/>
        <v>11.836917775564437</v>
      </c>
      <c r="F156" s="361">
        <f t="shared" si="53"/>
        <v>11.836917775564437</v>
      </c>
      <c r="G156" s="360">
        <f>+AVERAGE(B156:F156)</f>
        <v>11.836917775564435</v>
      </c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</row>
    <row r="157" spans="1:2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</row>
    <row r="158" spans="1:2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</row>
    <row r="159" spans="1:21">
      <c r="A159" s="336" t="s">
        <v>283</v>
      </c>
      <c r="B159" s="336" t="s">
        <v>402</v>
      </c>
      <c r="C159" s="336" t="s">
        <v>403</v>
      </c>
      <c r="D159" s="336" t="s">
        <v>404</v>
      </c>
      <c r="E159" s="336" t="s">
        <v>405</v>
      </c>
      <c r="F159" s="336" t="s">
        <v>406</v>
      </c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</row>
    <row r="160" spans="1:21">
      <c r="A160" s="51" t="s">
        <v>273</v>
      </c>
      <c r="B160" s="248">
        <f>+B133</f>
        <v>3.1008232941310957E-3</v>
      </c>
      <c r="C160" s="248">
        <f t="shared" ref="C160:F160" si="54">+C133</f>
        <v>3.5766491686368321E-2</v>
      </c>
      <c r="D160" s="248">
        <f t="shared" si="54"/>
        <v>3.5767787069638145E-2</v>
      </c>
      <c r="E160" s="248">
        <f t="shared" si="54"/>
        <v>3.662212753345076E-2</v>
      </c>
      <c r="F160" s="248">
        <f t="shared" si="54"/>
        <v>3.5961419130891535E-2</v>
      </c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</row>
    <row r="161" spans="1:21">
      <c r="A161" s="51" t="s">
        <v>284</v>
      </c>
      <c r="B161" s="248">
        <f>+B149</f>
        <v>7.680400815523687E-4</v>
      </c>
      <c r="C161" s="248">
        <f t="shared" ref="C161:F161" si="55">+C149</f>
        <v>7.6804008155236046E-4</v>
      </c>
      <c r="D161" s="248">
        <f t="shared" si="55"/>
        <v>7.6804008155236577E-4</v>
      </c>
      <c r="E161" s="248">
        <f t="shared" si="55"/>
        <v>7.6804008155236772E-4</v>
      </c>
      <c r="F161" s="248">
        <f t="shared" si="55"/>
        <v>7.6804008155235374E-4</v>
      </c>
      <c r="G161" s="362" t="s">
        <v>231</v>
      </c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</row>
    <row r="162" spans="1:21">
      <c r="A162" s="337" t="s">
        <v>285</v>
      </c>
      <c r="B162" s="338">
        <f>+B160/B161</f>
        <v>4.0373196251212402</v>
      </c>
      <c r="C162" s="338">
        <f t="shared" ref="C162:F162" si="56">+C160/C161</f>
        <v>46.568522327737362</v>
      </c>
      <c r="D162" s="338">
        <f t="shared" si="56"/>
        <v>46.570208936679641</v>
      </c>
      <c r="E162" s="338">
        <f t="shared" si="56"/>
        <v>47.682573361835324</v>
      </c>
      <c r="F162" s="338">
        <f t="shared" si="56"/>
        <v>46.822320858836861</v>
      </c>
      <c r="G162" s="363">
        <f>+AVERAGE(B162:F162)</f>
        <v>38.336189022042085</v>
      </c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</row>
    <row r="163" spans="1:2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</row>
    <row r="164" spans="1:2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</row>
    <row r="165" spans="1:21">
      <c r="A165" s="357" t="s">
        <v>286</v>
      </c>
      <c r="B165" s="336" t="s">
        <v>402</v>
      </c>
      <c r="C165" s="336" t="s">
        <v>403</v>
      </c>
      <c r="D165" s="336" t="s">
        <v>404</v>
      </c>
      <c r="E165" s="336" t="s">
        <v>405</v>
      </c>
      <c r="F165" s="336" t="s">
        <v>406</v>
      </c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</row>
    <row r="166" spans="1:21">
      <c r="A166" s="51" t="s">
        <v>287</v>
      </c>
      <c r="B166" s="364">
        <f>+K90</f>
        <v>-3811125.0414299667</v>
      </c>
      <c r="C166" s="364">
        <f t="shared" ref="C166:F166" si="57">+L90</f>
        <v>43875944.178743452</v>
      </c>
      <c r="D166" s="364">
        <f t="shared" si="57"/>
        <v>43866072.091303319</v>
      </c>
      <c r="E166" s="364">
        <f t="shared" si="57"/>
        <v>45181878.789754093</v>
      </c>
      <c r="F166" s="364">
        <f t="shared" si="57"/>
        <v>48038841.940327168</v>
      </c>
      <c r="G166" s="42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</row>
    <row r="167" spans="1:21">
      <c r="A167" s="300" t="s">
        <v>288</v>
      </c>
      <c r="B167" s="364">
        <f>+K97</f>
        <v>1412966.436254462</v>
      </c>
      <c r="C167" s="364">
        <f t="shared" ref="C167:F167" si="58">+L97</f>
        <v>17108667.601290021</v>
      </c>
      <c r="D167" s="364">
        <f t="shared" si="58"/>
        <v>17104818.151079759</v>
      </c>
      <c r="E167" s="364">
        <f t="shared" si="58"/>
        <v>17617894.276339561</v>
      </c>
      <c r="F167" s="364">
        <f t="shared" si="58"/>
        <v>18731917.776168186</v>
      </c>
      <c r="G167" s="42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</row>
    <row r="168" spans="1:21">
      <c r="A168" s="51" t="s">
        <v>289</v>
      </c>
      <c r="B168" s="364">
        <f>+B166-B167</f>
        <v>-5224091.4776844289</v>
      </c>
      <c r="C168" s="364">
        <f t="shared" ref="C168:F168" si="59">+C166-C167</f>
        <v>26767276.577453431</v>
      </c>
      <c r="D168" s="364">
        <f t="shared" si="59"/>
        <v>26761253.94022356</v>
      </c>
      <c r="E168" s="364">
        <f t="shared" si="59"/>
        <v>27563984.513414532</v>
      </c>
      <c r="F168" s="364">
        <f t="shared" si="59"/>
        <v>29306924.164158981</v>
      </c>
      <c r="G168" s="42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</row>
    <row r="169" spans="1:21">
      <c r="A169" s="300" t="s">
        <v>290</v>
      </c>
      <c r="B169" s="364">
        <f>+K103</f>
        <v>7776724.666666667</v>
      </c>
      <c r="C169" s="364">
        <f t="shared" ref="C169:F169" si="60">+L103</f>
        <v>7776724.666666667</v>
      </c>
      <c r="D169" s="364">
        <f t="shared" si="60"/>
        <v>7776724.666666667</v>
      </c>
      <c r="E169" s="364">
        <f t="shared" si="60"/>
        <v>9187669.5999999996</v>
      </c>
      <c r="F169" s="364">
        <f t="shared" si="60"/>
        <v>8621403.5199999996</v>
      </c>
      <c r="G169" s="42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</row>
    <row r="170" spans="1:21">
      <c r="A170" s="300" t="s">
        <v>291</v>
      </c>
      <c r="B170" s="364">
        <f>+K104</f>
        <v>638600</v>
      </c>
      <c r="C170" s="364">
        <f t="shared" ref="C170:F170" si="61">+L104</f>
        <v>638600</v>
      </c>
      <c r="D170" s="364">
        <f t="shared" si="61"/>
        <v>638600</v>
      </c>
      <c r="E170" s="364">
        <f t="shared" si="61"/>
        <v>766320</v>
      </c>
      <c r="F170" s="364">
        <f t="shared" si="61"/>
        <v>904384</v>
      </c>
      <c r="G170" s="42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</row>
    <row r="171" spans="1:21">
      <c r="A171" s="51" t="s">
        <v>350</v>
      </c>
      <c r="B171" s="364">
        <f>+B168+B169+B170</f>
        <v>3191233.1889822381</v>
      </c>
      <c r="C171" s="364">
        <f t="shared" ref="C171:F171" si="62">+C168+C169+C170</f>
        <v>35182601.244120099</v>
      </c>
      <c r="D171" s="364">
        <f t="shared" si="62"/>
        <v>35176578.606890224</v>
      </c>
      <c r="E171" s="364">
        <f t="shared" si="62"/>
        <v>37517974.113414533</v>
      </c>
      <c r="F171" s="364">
        <f t="shared" si="62"/>
        <v>38832711.684158981</v>
      </c>
      <c r="G171" s="42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</row>
    <row r="172" spans="1:21">
      <c r="A172" s="300" t="s">
        <v>292</v>
      </c>
      <c r="B172" s="339"/>
      <c r="C172" s="364">
        <f>+C147-B147</f>
        <v>-17521.259055644274</v>
      </c>
      <c r="D172" s="364">
        <f t="shared" ref="D172:F172" si="63">+D147-C147</f>
        <v>-252.64996400475502</v>
      </c>
      <c r="E172" s="364">
        <f t="shared" si="63"/>
        <v>33674.591825097799</v>
      </c>
      <c r="F172" s="364">
        <f t="shared" si="63"/>
        <v>73116.414491683245</v>
      </c>
      <c r="G172" s="42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</row>
    <row r="173" spans="1:21">
      <c r="A173" s="300" t="s">
        <v>293</v>
      </c>
      <c r="B173" s="340"/>
      <c r="C173" s="364">
        <f>+L49-K49</f>
        <v>-1927271.0371927172</v>
      </c>
      <c r="D173" s="364">
        <f t="shared" ref="D173:F173" si="64">+M49-L49</f>
        <v>-27790.523309037089</v>
      </c>
      <c r="E173" s="364">
        <f t="shared" si="64"/>
        <v>3704075.4495853335</v>
      </c>
      <c r="F173" s="364">
        <f t="shared" si="64"/>
        <v>8042524.0872141868</v>
      </c>
      <c r="G173" s="42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</row>
    <row r="174" spans="1:21">
      <c r="A174" s="337" t="s">
        <v>294</v>
      </c>
      <c r="B174" s="361">
        <f>+B171-B172-B173</f>
        <v>3191233.1889822381</v>
      </c>
      <c r="C174" s="361">
        <f t="shared" ref="C174:F174" si="65">+C171-C172-C173</f>
        <v>37127393.54036846</v>
      </c>
      <c r="D174" s="361">
        <f t="shared" si="65"/>
        <v>35204621.780163266</v>
      </c>
      <c r="E174" s="361">
        <f t="shared" si="65"/>
        <v>33780224.072004102</v>
      </c>
      <c r="F174" s="361">
        <f t="shared" si="65"/>
        <v>30717071.182453111</v>
      </c>
      <c r="G174" s="42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</row>
    <row r="175" spans="1:2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</row>
    <row r="176" spans="1:2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 t="s">
        <v>233</v>
      </c>
      <c r="L176" s="40"/>
      <c r="M176" s="40"/>
      <c r="N176" s="40"/>
      <c r="O176" s="40"/>
      <c r="P176" s="40"/>
      <c r="Q176" s="40"/>
      <c r="R176" s="40"/>
      <c r="S176" s="40"/>
      <c r="T176" s="40"/>
      <c r="U176" s="40"/>
    </row>
    <row r="177" spans="1:21">
      <c r="A177" s="569" t="s">
        <v>295</v>
      </c>
      <c r="B177" s="569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</row>
    <row r="178" spans="1:21">
      <c r="A178" s="140"/>
      <c r="B178" s="40"/>
      <c r="C178" s="40"/>
      <c r="D178" s="40"/>
      <c r="E178" s="40"/>
      <c r="F178" s="40"/>
      <c r="G178" s="42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</row>
    <row r="179" spans="1:21">
      <c r="A179" s="351" t="s">
        <v>296</v>
      </c>
      <c r="B179" s="336" t="s">
        <v>402</v>
      </c>
      <c r="C179" s="336" t="s">
        <v>403</v>
      </c>
      <c r="D179" s="336" t="s">
        <v>404</v>
      </c>
      <c r="E179" s="336" t="s">
        <v>405</v>
      </c>
      <c r="F179" s="336" t="s">
        <v>406</v>
      </c>
      <c r="G179" s="42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</row>
    <row r="180" spans="1:21">
      <c r="A180" s="51" t="s">
        <v>130</v>
      </c>
      <c r="B180" s="365">
        <f>+K54</f>
        <v>386319169.21810001</v>
      </c>
      <c r="C180" s="365">
        <f t="shared" ref="C180:F180" si="66">+L54</f>
        <v>380383761.50223309</v>
      </c>
      <c r="D180" s="365">
        <f t="shared" si="66"/>
        <v>380298175.15589499</v>
      </c>
      <c r="E180" s="365">
        <f t="shared" si="66"/>
        <v>391705599.21787131</v>
      </c>
      <c r="F180" s="365">
        <f t="shared" si="66"/>
        <v>416474123.52041531</v>
      </c>
      <c r="G180" s="42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</row>
    <row r="181" spans="1:21">
      <c r="A181" s="51" t="s">
        <v>268</v>
      </c>
      <c r="B181" s="366">
        <f>+K98</f>
        <v>2868750.0372439073</v>
      </c>
      <c r="C181" s="366">
        <f t="shared" ref="C181:F181" si="67">+L98</f>
        <v>34735779.675346404</v>
      </c>
      <c r="D181" s="366">
        <f t="shared" si="67"/>
        <v>34727964.124919511</v>
      </c>
      <c r="E181" s="366">
        <f t="shared" si="67"/>
        <v>35769664.136810623</v>
      </c>
      <c r="F181" s="366">
        <f t="shared" si="67"/>
        <v>38031469.42434147</v>
      </c>
      <c r="G181" s="362" t="s">
        <v>231</v>
      </c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</row>
    <row r="182" spans="1:21">
      <c r="A182" s="337" t="s">
        <v>296</v>
      </c>
      <c r="B182" s="367">
        <f>+B181/B180</f>
        <v>7.4258547486788793E-3</v>
      </c>
      <c r="C182" s="367">
        <f t="shared" ref="C182:F182" si="68">+C181/C180</f>
        <v>9.1317724863348257E-2</v>
      </c>
      <c r="D182" s="367">
        <f t="shared" si="68"/>
        <v>9.1317724863348437E-2</v>
      </c>
      <c r="E182" s="367">
        <f t="shared" si="68"/>
        <v>9.1317724863348479E-2</v>
      </c>
      <c r="F182" s="367">
        <f t="shared" si="68"/>
        <v>9.1317724863348423E-2</v>
      </c>
      <c r="G182" s="368">
        <f>+AVERAGE(B182:F182)</f>
        <v>7.4539350840414492E-2</v>
      </c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</row>
    <row r="183" spans="1:2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</row>
    <row r="184" spans="1:21">
      <c r="A184" s="40"/>
      <c r="B184" s="42" t="s">
        <v>297</v>
      </c>
      <c r="C184" s="299">
        <f>+MAX(B182:F182)</f>
        <v>9.1317724863348479E-2</v>
      </c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</row>
    <row r="185" spans="1:21">
      <c r="A185" s="40"/>
      <c r="B185" s="42" t="s">
        <v>298</v>
      </c>
      <c r="C185" s="299">
        <f>+MIN(B182:F182)</f>
        <v>7.4258547486788793E-3</v>
      </c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</row>
    <row r="186" spans="1:2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</row>
    <row r="187" spans="1:21">
      <c r="A187" s="336" t="s">
        <v>296</v>
      </c>
      <c r="B187" s="369">
        <f>+G182</f>
        <v>7.4539350840414492E-2</v>
      </c>
      <c r="C187" s="369">
        <f t="shared" ref="C187:F188" si="69">+B187</f>
        <v>7.4539350840414492E-2</v>
      </c>
      <c r="D187" s="369">
        <f t="shared" si="69"/>
        <v>7.4539350840414492E-2</v>
      </c>
      <c r="E187" s="369">
        <f t="shared" si="69"/>
        <v>7.4539350840414492E-2</v>
      </c>
      <c r="F187" s="369">
        <f t="shared" si="69"/>
        <v>7.4539350840414492E-2</v>
      </c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</row>
    <row r="188" spans="1:21">
      <c r="A188" s="336" t="s">
        <v>299</v>
      </c>
      <c r="B188" s="368">
        <f>+G216</f>
        <v>0.11297192910702696</v>
      </c>
      <c r="C188" s="368">
        <f t="shared" si="69"/>
        <v>0.11297192910702696</v>
      </c>
      <c r="D188" s="368">
        <f t="shared" si="69"/>
        <v>0.11297192910702696</v>
      </c>
      <c r="E188" s="368">
        <f t="shared" si="69"/>
        <v>0.11297192910702696</v>
      </c>
      <c r="F188" s="368">
        <f t="shared" si="69"/>
        <v>0.11297192910702696</v>
      </c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</row>
    <row r="189" spans="1:21">
      <c r="A189" s="336" t="s">
        <v>351</v>
      </c>
      <c r="B189" s="369">
        <f>+B187-B188</f>
        <v>-3.8432578266612463E-2</v>
      </c>
      <c r="C189" s="369">
        <f t="shared" ref="C189:F189" si="70">+C187-C188</f>
        <v>-3.8432578266612463E-2</v>
      </c>
      <c r="D189" s="369">
        <f t="shared" si="70"/>
        <v>-3.8432578266612463E-2</v>
      </c>
      <c r="E189" s="369">
        <f t="shared" si="70"/>
        <v>-3.8432578266612463E-2</v>
      </c>
      <c r="F189" s="369">
        <f t="shared" si="70"/>
        <v>-3.8432578266612463E-2</v>
      </c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</row>
    <row r="190" spans="1:2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</row>
    <row r="191" spans="1:2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</row>
    <row r="192" spans="1:21">
      <c r="A192" s="1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</row>
    <row r="193" spans="1:21">
      <c r="A193" s="1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</row>
    <row r="194" spans="1:21">
      <c r="A194" s="351" t="s">
        <v>300</v>
      </c>
      <c r="B194" s="336" t="s">
        <v>402</v>
      </c>
      <c r="C194" s="336" t="s">
        <v>403</v>
      </c>
      <c r="D194" s="336" t="s">
        <v>404</v>
      </c>
      <c r="E194" s="336" t="s">
        <v>405</v>
      </c>
      <c r="F194" s="336" t="s">
        <v>406</v>
      </c>
      <c r="G194" s="42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</row>
    <row r="195" spans="1:21">
      <c r="A195" s="51" t="s">
        <v>272</v>
      </c>
      <c r="B195" s="366">
        <f>+K90</f>
        <v>-3811125.0414299667</v>
      </c>
      <c r="C195" s="366">
        <f t="shared" ref="C195:F195" si="71">+L90</f>
        <v>43875944.178743452</v>
      </c>
      <c r="D195" s="366">
        <f t="shared" si="71"/>
        <v>43866072.091303319</v>
      </c>
      <c r="E195" s="366">
        <f t="shared" si="71"/>
        <v>45181878.789754093</v>
      </c>
      <c r="F195" s="366">
        <f t="shared" si="71"/>
        <v>48038841.940327168</v>
      </c>
      <c r="G195" s="42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</row>
    <row r="196" spans="1:21">
      <c r="A196" s="51" t="s">
        <v>301</v>
      </c>
      <c r="B196" s="368">
        <f>+K97/K96</f>
        <v>0.33</v>
      </c>
      <c r="C196" s="368">
        <f t="shared" ref="C196:F196" si="72">+L97/L96</f>
        <v>0.33</v>
      </c>
      <c r="D196" s="368">
        <f t="shared" si="72"/>
        <v>0.33</v>
      </c>
      <c r="E196" s="368">
        <f t="shared" si="72"/>
        <v>0.33</v>
      </c>
      <c r="F196" s="368">
        <f t="shared" si="72"/>
        <v>0.33</v>
      </c>
      <c r="G196" s="362" t="s">
        <v>231</v>
      </c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</row>
    <row r="197" spans="1:21">
      <c r="A197" s="337" t="s">
        <v>289</v>
      </c>
      <c r="B197" s="446">
        <f>+B195*(1-B196)</f>
        <v>-2553453.7777580773</v>
      </c>
      <c r="C197" s="446">
        <f t="shared" ref="C197:F197" si="73">+C195*(1-C196)</f>
        <v>29396882.599758111</v>
      </c>
      <c r="D197" s="446">
        <f t="shared" si="73"/>
        <v>29390268.301173221</v>
      </c>
      <c r="E197" s="446">
        <f t="shared" si="73"/>
        <v>30271858.78913524</v>
      </c>
      <c r="F197" s="446">
        <f t="shared" si="73"/>
        <v>32186024.100019198</v>
      </c>
      <c r="G197" s="366">
        <f>+AVERAGE(B197:F197)</f>
        <v>23738316.002465539</v>
      </c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</row>
    <row r="198" spans="1:2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</row>
    <row r="199" spans="1:21">
      <c r="A199" s="1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</row>
    <row r="200" spans="1:21">
      <c r="A200" s="351" t="s">
        <v>302</v>
      </c>
      <c r="B200" s="336" t="s">
        <v>402</v>
      </c>
      <c r="C200" s="336" t="s">
        <v>403</v>
      </c>
      <c r="D200" s="336" t="s">
        <v>404</v>
      </c>
      <c r="E200" s="336" t="s">
        <v>405</v>
      </c>
      <c r="F200" s="336" t="s">
        <v>406</v>
      </c>
      <c r="G200" s="42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</row>
    <row r="201" spans="1:21">
      <c r="A201" s="51" t="s">
        <v>272</v>
      </c>
      <c r="B201" s="366">
        <f>+K90</f>
        <v>-3811125.0414299667</v>
      </c>
      <c r="C201" s="366">
        <f t="shared" ref="C201:F201" si="74">+L90</f>
        <v>43875944.178743452</v>
      </c>
      <c r="D201" s="366">
        <f t="shared" si="74"/>
        <v>43866072.091303319</v>
      </c>
      <c r="E201" s="366">
        <f t="shared" si="74"/>
        <v>45181878.789754093</v>
      </c>
      <c r="F201" s="366">
        <f t="shared" si="74"/>
        <v>48038841.940327168</v>
      </c>
      <c r="G201" s="42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</row>
    <row r="202" spans="1:21">
      <c r="A202" s="51" t="s">
        <v>303</v>
      </c>
      <c r="B202" s="369">
        <v>0.33</v>
      </c>
      <c r="C202" s="368">
        <v>0</v>
      </c>
      <c r="D202" s="368">
        <v>0</v>
      </c>
      <c r="E202" s="369">
        <v>0.33</v>
      </c>
      <c r="F202" s="369">
        <v>0.33</v>
      </c>
      <c r="G202" s="362" t="s">
        <v>231</v>
      </c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</row>
    <row r="203" spans="1:21">
      <c r="A203" s="337" t="s">
        <v>289</v>
      </c>
      <c r="B203" s="388">
        <f>+B201*(1-B202)</f>
        <v>-2553453.7777580773</v>
      </c>
      <c r="C203" s="388">
        <f t="shared" ref="C203:F203" si="75">+C201*(1-C202)</f>
        <v>43875944.178743452</v>
      </c>
      <c r="D203" s="388">
        <f t="shared" si="75"/>
        <v>43866072.091303319</v>
      </c>
      <c r="E203" s="388">
        <f t="shared" si="75"/>
        <v>30271858.78913524</v>
      </c>
      <c r="F203" s="388">
        <f t="shared" si="75"/>
        <v>32186024.100019198</v>
      </c>
      <c r="G203" s="366">
        <f>+AVERAGE(B203:F203)</f>
        <v>29529289.076288622</v>
      </c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</row>
    <row r="204" spans="1:21">
      <c r="A204" s="40"/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</row>
    <row r="205" spans="1:21">
      <c r="A205" s="1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</row>
    <row r="206" spans="1:21">
      <c r="A206" s="351" t="s">
        <v>304</v>
      </c>
      <c r="B206" s="336" t="s">
        <v>402</v>
      </c>
      <c r="C206" s="336" t="s">
        <v>403</v>
      </c>
      <c r="D206" s="336" t="s">
        <v>404</v>
      </c>
      <c r="E206" s="336" t="s">
        <v>405</v>
      </c>
      <c r="F206" s="336" t="s">
        <v>406</v>
      </c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</row>
    <row r="207" spans="1:21">
      <c r="A207" s="51" t="s">
        <v>305</v>
      </c>
      <c r="B207" s="365">
        <f>+K45</f>
        <v>260878461.25190002</v>
      </c>
      <c r="C207" s="365">
        <f t="shared" ref="C207:F207" si="76">+L45</f>
        <v>256870324.5732258</v>
      </c>
      <c r="D207" s="365">
        <f t="shared" si="76"/>
        <v>256812528.75019678</v>
      </c>
      <c r="E207" s="365">
        <f t="shared" si="76"/>
        <v>264515877.36258772</v>
      </c>
      <c r="F207" s="365">
        <f t="shared" si="76"/>
        <v>281241877.57791752</v>
      </c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</row>
    <row r="208" spans="1:21">
      <c r="A208" s="51" t="s">
        <v>306</v>
      </c>
      <c r="B208" s="305">
        <f>+K49</f>
        <v>125440707.96619999</v>
      </c>
      <c r="C208" s="305">
        <f t="shared" ref="C208:F208" si="77">+L49</f>
        <v>123513436.92900728</v>
      </c>
      <c r="D208" s="305">
        <f t="shared" si="77"/>
        <v>123485646.40569824</v>
      </c>
      <c r="E208" s="305">
        <f t="shared" si="77"/>
        <v>127189721.85528357</v>
      </c>
      <c r="F208" s="305">
        <f t="shared" si="77"/>
        <v>135232245.94249776</v>
      </c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</row>
    <row r="209" spans="1:21">
      <c r="A209" s="51" t="s">
        <v>307</v>
      </c>
      <c r="B209" s="305">
        <f>+K58</f>
        <v>179420194.7518</v>
      </c>
      <c r="C209" s="305">
        <f t="shared" ref="C209:F209" si="78">+L58</f>
        <v>176663582.87963331</v>
      </c>
      <c r="D209" s="305">
        <f t="shared" si="78"/>
        <v>176623833.57348537</v>
      </c>
      <c r="E209" s="305">
        <f t="shared" si="78"/>
        <v>181921842.08535567</v>
      </c>
      <c r="F209" s="305">
        <f t="shared" si="78"/>
        <v>193425214.96501788</v>
      </c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</row>
    <row r="210" spans="1:21">
      <c r="A210" s="337" t="s">
        <v>308</v>
      </c>
      <c r="B210" s="389">
        <f>+B207+B208-B209</f>
        <v>206898974.46630001</v>
      </c>
      <c r="C210" s="389">
        <f t="shared" ref="C210:F210" si="79">+C207+C208-C209</f>
        <v>203720178.62259978</v>
      </c>
      <c r="D210" s="389">
        <f t="shared" si="79"/>
        <v>203674341.58240962</v>
      </c>
      <c r="E210" s="389">
        <f t="shared" si="79"/>
        <v>209783757.13251564</v>
      </c>
      <c r="F210" s="389">
        <f t="shared" si="79"/>
        <v>223048908.55539742</v>
      </c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</row>
    <row r="211" spans="1:2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</row>
    <row r="212" spans="1:2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</row>
    <row r="213" spans="1:21">
      <c r="A213" s="336" t="s">
        <v>299</v>
      </c>
      <c r="B213" s="336" t="s">
        <v>402</v>
      </c>
      <c r="C213" s="336" t="s">
        <v>403</v>
      </c>
      <c r="D213" s="336" t="s">
        <v>404</v>
      </c>
      <c r="E213" s="336" t="s">
        <v>405</v>
      </c>
      <c r="F213" s="336" t="s">
        <v>406</v>
      </c>
      <c r="G213" s="42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</row>
    <row r="214" spans="1:21">
      <c r="A214" s="51" t="s">
        <v>289</v>
      </c>
      <c r="B214" s="366">
        <f>+B197</f>
        <v>-2553453.7777580773</v>
      </c>
      <c r="C214" s="366">
        <f t="shared" ref="C214:F214" si="80">+C197</f>
        <v>29396882.599758111</v>
      </c>
      <c r="D214" s="366">
        <f t="shared" si="80"/>
        <v>29390268.301173221</v>
      </c>
      <c r="E214" s="366">
        <f t="shared" si="80"/>
        <v>30271858.78913524</v>
      </c>
      <c r="F214" s="366">
        <f t="shared" si="80"/>
        <v>32186024.100019198</v>
      </c>
      <c r="G214" s="42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</row>
    <row r="215" spans="1:21">
      <c r="A215" s="51" t="s">
        <v>308</v>
      </c>
      <c r="B215" s="305">
        <f>+B210</f>
        <v>206898974.46630001</v>
      </c>
      <c r="C215" s="305">
        <f t="shared" ref="C215:F215" si="81">+C210</f>
        <v>203720178.62259978</v>
      </c>
      <c r="D215" s="305">
        <f t="shared" si="81"/>
        <v>203674341.58240962</v>
      </c>
      <c r="E215" s="305">
        <f t="shared" si="81"/>
        <v>209783757.13251564</v>
      </c>
      <c r="F215" s="305">
        <f t="shared" si="81"/>
        <v>223048908.55539742</v>
      </c>
      <c r="G215" s="362" t="s">
        <v>231</v>
      </c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</row>
    <row r="216" spans="1:21">
      <c r="A216" s="337" t="s">
        <v>299</v>
      </c>
      <c r="B216" s="367">
        <f>+B214/B215</f>
        <v>-1.2341548740610057E-2</v>
      </c>
      <c r="C216" s="367">
        <f t="shared" ref="C216:F216" si="82">+C214/C215</f>
        <v>0.14430029856893595</v>
      </c>
      <c r="D216" s="367">
        <f t="shared" si="82"/>
        <v>0.14430029856893628</v>
      </c>
      <c r="E216" s="367">
        <f t="shared" si="82"/>
        <v>0.14430029856893636</v>
      </c>
      <c r="F216" s="367">
        <f t="shared" si="82"/>
        <v>0.1443002985689362</v>
      </c>
      <c r="G216" s="370">
        <f>+AVERAGE(B216:F216)</f>
        <v>0.11297192910702696</v>
      </c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</row>
    <row r="217" spans="1:2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</row>
    <row r="218" spans="1:2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</row>
    <row r="219" spans="1:2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</row>
    <row r="220" spans="1:2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</row>
    <row r="221" spans="1:21" ht="15" thickBo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</row>
    <row r="222" spans="1:21" ht="15" thickBot="1">
      <c r="A222" s="566" t="s">
        <v>309</v>
      </c>
      <c r="B222" s="567"/>
      <c r="C222" s="567"/>
      <c r="D222" s="567"/>
      <c r="E222" s="567"/>
      <c r="F222" s="568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</row>
    <row r="223" spans="1:21" ht="15" thickBot="1">
      <c r="A223" s="447" t="s">
        <v>310</v>
      </c>
      <c r="B223" s="448" t="s">
        <v>402</v>
      </c>
      <c r="C223" s="448" t="s">
        <v>403</v>
      </c>
      <c r="D223" s="448" t="s">
        <v>404</v>
      </c>
      <c r="E223" s="448" t="s">
        <v>405</v>
      </c>
      <c r="F223" s="448" t="s">
        <v>406</v>
      </c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</row>
    <row r="224" spans="1:21">
      <c r="A224" s="371" t="s">
        <v>311</v>
      </c>
      <c r="B224" s="372"/>
      <c r="C224" s="372"/>
      <c r="D224" s="372"/>
      <c r="E224" s="372"/>
      <c r="F224" s="372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</row>
    <row r="225" spans="1:21">
      <c r="A225" s="373" t="s">
        <v>312</v>
      </c>
      <c r="B225" s="374">
        <f>+K87/K85</f>
        <v>0.3810564993875904</v>
      </c>
      <c r="C225" s="374">
        <f>+L87/L85</f>
        <v>0.40338951229628567</v>
      </c>
      <c r="D225" s="374">
        <f>+M87/M85</f>
        <v>0.40338951229628572</v>
      </c>
      <c r="E225" s="374">
        <f>+N87/N85</f>
        <v>0.40338951229628572</v>
      </c>
      <c r="F225" s="374">
        <f>+O87/O85</f>
        <v>0.40338951229628572</v>
      </c>
      <c r="G225" s="42"/>
      <c r="H225" s="42"/>
      <c r="I225" s="42"/>
      <c r="J225" s="42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</row>
    <row r="226" spans="1:21">
      <c r="A226" s="373" t="s">
        <v>314</v>
      </c>
      <c r="B226" s="374">
        <f>+K90/K85</f>
        <v>-2.5667056746491172E-3</v>
      </c>
      <c r="C226" s="374">
        <f>+L90/L85</f>
        <v>3.0010528092938658E-2</v>
      </c>
      <c r="D226" s="374">
        <f>+M90/M85</f>
        <v>3.0010528092938717E-2</v>
      </c>
      <c r="E226" s="374">
        <f>+N90/N85</f>
        <v>3.0010528092938742E-2</v>
      </c>
      <c r="F226" s="374">
        <f>+O90/O85</f>
        <v>3.0010528092938714E-2</v>
      </c>
      <c r="G226" s="42"/>
      <c r="H226" s="42"/>
      <c r="I226" s="42"/>
      <c r="J226" s="42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</row>
    <row r="227" spans="1:21">
      <c r="A227" s="373" t="s">
        <v>316</v>
      </c>
      <c r="B227" s="374">
        <f>+K98/K85</f>
        <v>1.9320376318539931E-3</v>
      </c>
      <c r="C227" s="374">
        <f>+L98/L85</f>
        <v>2.37587842561378E-2</v>
      </c>
      <c r="D227" s="374">
        <f>+M98/M85</f>
        <v>2.3758784256137845E-2</v>
      </c>
      <c r="E227" s="374">
        <f>+N98/N85</f>
        <v>2.3758784256137859E-2</v>
      </c>
      <c r="F227" s="374">
        <f>+O98/O85</f>
        <v>2.3758784256137845E-2</v>
      </c>
      <c r="G227" s="42"/>
      <c r="H227" s="42"/>
      <c r="I227" s="42"/>
      <c r="J227" s="42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</row>
    <row r="228" spans="1:21" ht="15" thickBot="1">
      <c r="A228" s="375" t="s">
        <v>318</v>
      </c>
      <c r="B228" s="376">
        <f>+K98/K76</f>
        <v>2.0595915888833728E-2</v>
      </c>
      <c r="C228" s="376">
        <f>+L98/L76</f>
        <v>0.25327349431118168</v>
      </c>
      <c r="D228" s="376">
        <f>+M98/M76</f>
        <v>0.25327349431118212</v>
      </c>
      <c r="E228" s="376">
        <f>+N98/N76</f>
        <v>0.25327349431118229</v>
      </c>
      <c r="F228" s="376">
        <f>+O98/O76</f>
        <v>0.25327349431118218</v>
      </c>
      <c r="G228" s="42"/>
      <c r="H228" s="42"/>
      <c r="I228" s="42"/>
      <c r="J228" s="42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</row>
    <row r="229" spans="1:21">
      <c r="A229" s="40"/>
      <c r="B229" s="377"/>
      <c r="C229" s="377"/>
      <c r="D229" s="377"/>
      <c r="E229" s="377"/>
      <c r="F229" s="377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</row>
    <row r="230" spans="1:21" ht="15" thickBot="1">
      <c r="A230" s="40"/>
      <c r="B230" s="377"/>
      <c r="C230" s="377"/>
      <c r="D230" s="377"/>
      <c r="E230" s="377"/>
      <c r="F230" s="377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</row>
    <row r="231" spans="1:21" ht="15" thickBot="1">
      <c r="A231" s="566" t="s">
        <v>309</v>
      </c>
      <c r="B231" s="567"/>
      <c r="C231" s="567"/>
      <c r="D231" s="567"/>
      <c r="E231" s="567"/>
      <c r="F231" s="568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</row>
    <row r="232" spans="1:21" ht="15" thickBot="1">
      <c r="A232" s="449" t="s">
        <v>320</v>
      </c>
      <c r="B232" s="450" t="str">
        <f>B223</f>
        <v>Año 1</v>
      </c>
      <c r="C232" s="450" t="str">
        <f>C223</f>
        <v>Año 2</v>
      </c>
      <c r="D232" s="450" t="str">
        <f>D223</f>
        <v>Año 3</v>
      </c>
      <c r="E232" s="448" t="s">
        <v>405</v>
      </c>
      <c r="F232" s="448" t="s">
        <v>406</v>
      </c>
      <c r="G232" s="42"/>
      <c r="H232" s="42"/>
      <c r="I232" s="42"/>
      <c r="J232" s="42"/>
      <c r="K232" s="42"/>
      <c r="L232" s="40"/>
      <c r="M232" s="40"/>
      <c r="N232" s="40"/>
      <c r="O232" s="40"/>
      <c r="P232" s="40"/>
      <c r="Q232" s="40"/>
      <c r="R232" s="40"/>
      <c r="S232" s="40"/>
      <c r="T232" s="40"/>
      <c r="U232" s="40"/>
    </row>
    <row r="233" spans="1:21">
      <c r="A233" s="373" t="s">
        <v>321</v>
      </c>
      <c r="B233" s="378">
        <f>+K45-K62</f>
        <v>13846617.381600022</v>
      </c>
      <c r="C233" s="378">
        <f>+L45-L62</f>
        <v>13633877.952149123</v>
      </c>
      <c r="D233" s="378">
        <f>+M45-M62</f>
        <v>13630810.329609901</v>
      </c>
      <c r="E233" s="378">
        <f>+N45-N62</f>
        <v>14039680.116256893</v>
      </c>
      <c r="F233" s="378">
        <f>+O45-O62</f>
        <v>14927444.18920812</v>
      </c>
      <c r="G233" s="42"/>
      <c r="H233" s="42"/>
      <c r="I233" s="42"/>
      <c r="J233" s="42"/>
      <c r="K233" s="42"/>
      <c r="L233" s="40"/>
      <c r="M233" s="40"/>
      <c r="N233" s="40"/>
      <c r="O233" s="40"/>
      <c r="P233" s="40"/>
      <c r="Q233" s="40"/>
      <c r="R233" s="40"/>
      <c r="S233" s="40"/>
      <c r="T233" s="40"/>
      <c r="U233" s="40"/>
    </row>
    <row r="234" spans="1:21">
      <c r="A234" s="373" t="s">
        <v>323</v>
      </c>
      <c r="B234" s="379">
        <f>+K45/K62</f>
        <v>1.0560519533217343</v>
      </c>
      <c r="C234" s="379">
        <f>+L45/L62</f>
        <v>1.0560519533217343</v>
      </c>
      <c r="D234" s="379">
        <f>+M45/M62</f>
        <v>1.0560519533217345</v>
      </c>
      <c r="E234" s="379">
        <f>+N45/N62</f>
        <v>1.0560519533217345</v>
      </c>
      <c r="F234" s="379">
        <f>+O45/O62</f>
        <v>1.0560519533217345</v>
      </c>
      <c r="G234" s="42"/>
      <c r="H234" s="42"/>
      <c r="I234" s="42"/>
      <c r="J234" s="42"/>
      <c r="K234" s="42"/>
      <c r="L234" s="40"/>
      <c r="M234" s="40"/>
      <c r="N234" s="40"/>
      <c r="O234" s="40"/>
      <c r="P234" s="40"/>
      <c r="Q234" s="40"/>
      <c r="R234" s="40"/>
      <c r="S234" s="40"/>
      <c r="T234" s="40"/>
      <c r="U234" s="40"/>
    </row>
    <row r="235" spans="1:21" ht="15" thickBot="1">
      <c r="A235" s="375" t="s">
        <v>325</v>
      </c>
      <c r="B235" s="380">
        <f>+(K45-K43)/K62</f>
        <v>0.81563125123936409</v>
      </c>
      <c r="C235" s="380">
        <f>+(L45-L43)/L62</f>
        <v>0.81563125123936409</v>
      </c>
      <c r="D235" s="380">
        <f>+(M45-M43)/M62</f>
        <v>0.8156312512393642</v>
      </c>
      <c r="E235" s="380">
        <f>+(N45-N43)/N62</f>
        <v>0.8156312512393642</v>
      </c>
      <c r="F235" s="380">
        <f>+(O45-O43)/O62</f>
        <v>0.81563125123936431</v>
      </c>
      <c r="G235" s="42"/>
      <c r="H235" s="42"/>
      <c r="I235" s="42"/>
      <c r="J235" s="42"/>
      <c r="K235" s="42"/>
      <c r="L235" s="40"/>
      <c r="M235" s="40"/>
      <c r="N235" s="40"/>
      <c r="O235" s="40"/>
      <c r="P235" s="40"/>
      <c r="Q235" s="40"/>
      <c r="R235" s="40"/>
      <c r="S235" s="40"/>
      <c r="T235" s="40"/>
      <c r="U235" s="40"/>
    </row>
    <row r="236" spans="1:21">
      <c r="A236" s="40"/>
      <c r="B236" s="381"/>
      <c r="C236" s="381"/>
      <c r="D236" s="381"/>
      <c r="E236" s="381"/>
      <c r="F236" s="381"/>
      <c r="G236" s="42"/>
      <c r="H236" s="42"/>
      <c r="I236" s="42"/>
      <c r="J236" s="42"/>
      <c r="K236" s="42"/>
      <c r="L236" s="40"/>
      <c r="M236" s="40"/>
      <c r="N236" s="40"/>
      <c r="O236" s="40"/>
      <c r="P236" s="40"/>
      <c r="Q236" s="40"/>
      <c r="R236" s="40"/>
      <c r="S236" s="40"/>
      <c r="T236" s="40"/>
      <c r="U236" s="40"/>
    </row>
    <row r="237" spans="1:21" ht="15" thickBot="1">
      <c r="A237" s="40"/>
      <c r="B237" s="381"/>
      <c r="C237" s="381"/>
      <c r="D237" s="381"/>
      <c r="E237" s="381"/>
      <c r="F237" s="381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</row>
    <row r="238" spans="1:21" ht="15" thickBot="1">
      <c r="A238" s="566" t="s">
        <v>309</v>
      </c>
      <c r="B238" s="567"/>
      <c r="C238" s="567"/>
      <c r="D238" s="567"/>
      <c r="E238" s="567"/>
      <c r="F238" s="568"/>
      <c r="G238" s="42"/>
      <c r="H238" s="42"/>
      <c r="I238" s="42"/>
      <c r="J238" s="42"/>
      <c r="K238" s="42"/>
      <c r="L238" s="42"/>
      <c r="M238" s="40"/>
      <c r="N238" s="40"/>
      <c r="O238" s="40"/>
      <c r="P238" s="40"/>
      <c r="Q238" s="40"/>
      <c r="R238" s="40"/>
      <c r="S238" s="40"/>
      <c r="T238" s="40"/>
      <c r="U238" s="40"/>
    </row>
    <row r="239" spans="1:21" ht="15" thickBot="1">
      <c r="A239" s="510" t="s">
        <v>328</v>
      </c>
      <c r="B239" s="448" t="str">
        <f>B232</f>
        <v>Año 1</v>
      </c>
      <c r="C239" s="448" t="str">
        <f>C232</f>
        <v>Año 2</v>
      </c>
      <c r="D239" s="448" t="str">
        <f>D232</f>
        <v>Año 3</v>
      </c>
      <c r="E239" s="448" t="s">
        <v>405</v>
      </c>
      <c r="F239" s="448" t="s">
        <v>406</v>
      </c>
      <c r="G239" s="42"/>
      <c r="H239" s="42"/>
      <c r="I239" s="42"/>
      <c r="J239" s="42"/>
      <c r="K239" s="42"/>
      <c r="L239" s="42"/>
      <c r="M239" s="40"/>
      <c r="N239" s="40"/>
      <c r="O239" s="40"/>
      <c r="P239" s="40"/>
      <c r="Q239" s="40"/>
      <c r="R239" s="40"/>
      <c r="S239" s="40"/>
      <c r="T239" s="40"/>
      <c r="U239" s="40"/>
    </row>
    <row r="240" spans="1:21">
      <c r="A240" s="372" t="s">
        <v>329</v>
      </c>
      <c r="B240" s="382">
        <f>+K69/K54</f>
        <v>0.63945013230973247</v>
      </c>
      <c r="C240" s="382">
        <f>+L69/L54</f>
        <v>0.63945013230973247</v>
      </c>
      <c r="D240" s="382">
        <f>+M69/M54</f>
        <v>0.63945013230973247</v>
      </c>
      <c r="E240" s="382">
        <f>+N69/N54</f>
        <v>0.63945013230973247</v>
      </c>
      <c r="F240" s="382">
        <f>+O69/O54</f>
        <v>0.63945013230973236</v>
      </c>
      <c r="G240" s="42"/>
      <c r="H240" s="42"/>
      <c r="I240" s="42"/>
      <c r="J240" s="42"/>
      <c r="K240" s="42"/>
      <c r="L240" s="42"/>
      <c r="M240" s="40"/>
      <c r="N240" s="40"/>
      <c r="O240" s="40"/>
      <c r="P240" s="40"/>
      <c r="Q240" s="40"/>
      <c r="R240" s="40"/>
      <c r="S240" s="40"/>
      <c r="T240" s="40"/>
      <c r="U240" s="40"/>
    </row>
    <row r="241" spans="1:21">
      <c r="A241" s="373" t="s">
        <v>331</v>
      </c>
      <c r="B241" s="374">
        <f>+K62/K69</f>
        <v>1</v>
      </c>
      <c r="C241" s="374">
        <f>+L62/L69</f>
        <v>1</v>
      </c>
      <c r="D241" s="374">
        <f>+M62/M69</f>
        <v>1</v>
      </c>
      <c r="E241" s="374">
        <f>+N62/N69</f>
        <v>1</v>
      </c>
      <c r="F241" s="374">
        <f>+O62/O69</f>
        <v>1</v>
      </c>
      <c r="G241" s="42"/>
      <c r="H241" s="42"/>
      <c r="I241" s="42"/>
      <c r="J241" s="42"/>
      <c r="K241" s="42"/>
      <c r="L241" s="42"/>
      <c r="M241" s="40"/>
      <c r="N241" s="40"/>
      <c r="O241" s="40"/>
      <c r="P241" s="40"/>
      <c r="Q241" s="40"/>
      <c r="R241" s="40"/>
      <c r="S241" s="40"/>
      <c r="T241" s="40"/>
      <c r="U241" s="40"/>
    </row>
    <row r="242" spans="1:21" ht="15" thickBot="1">
      <c r="A242" s="375" t="s">
        <v>333</v>
      </c>
      <c r="B242" s="376">
        <f>+K67/K69</f>
        <v>0</v>
      </c>
      <c r="C242" s="376">
        <f>+L67/L69</f>
        <v>0</v>
      </c>
      <c r="D242" s="376">
        <f>+M67/M69</f>
        <v>0</v>
      </c>
      <c r="E242" s="376">
        <f>+N67/N69</f>
        <v>0</v>
      </c>
      <c r="F242" s="376">
        <f>+O67/O69</f>
        <v>0</v>
      </c>
      <c r="G242" s="42"/>
      <c r="H242" s="42"/>
      <c r="I242" s="42"/>
      <c r="J242" s="42"/>
      <c r="K242" s="42"/>
      <c r="L242" s="42"/>
      <c r="M242" s="40"/>
      <c r="N242" s="40"/>
      <c r="O242" s="40"/>
      <c r="P242" s="40"/>
      <c r="Q242" s="40"/>
      <c r="R242" s="40"/>
      <c r="S242" s="40"/>
      <c r="T242" s="40"/>
      <c r="U242" s="40"/>
    </row>
    <row r="243" spans="1:21">
      <c r="A243" s="40"/>
      <c r="B243" s="40"/>
      <c r="C243" s="40"/>
      <c r="D243" s="40"/>
      <c r="E243" s="40"/>
      <c r="F243" s="40"/>
      <c r="G243" s="42"/>
      <c r="H243" s="42"/>
      <c r="I243" s="42"/>
      <c r="J243" s="42"/>
      <c r="K243" s="42"/>
      <c r="L243" s="42"/>
      <c r="M243" s="40"/>
      <c r="N243" s="40"/>
      <c r="O243" s="40"/>
      <c r="P243" s="40"/>
      <c r="Q243" s="40"/>
      <c r="R243" s="40"/>
      <c r="S243" s="40"/>
      <c r="T243" s="40"/>
      <c r="U243" s="40"/>
    </row>
    <row r="244" spans="1:21" ht="15" thickBot="1">
      <c r="A244" s="788" t="s">
        <v>335</v>
      </c>
      <c r="B244" s="789"/>
      <c r="C244" s="789"/>
      <c r="D244" s="789"/>
      <c r="E244" s="789"/>
      <c r="F244" s="789"/>
      <c r="G244" s="383"/>
      <c r="H244" s="42"/>
      <c r="I244" s="42"/>
      <c r="J244" s="42"/>
      <c r="K244" s="42"/>
      <c r="L244" s="42"/>
      <c r="M244" s="40"/>
      <c r="N244" s="40"/>
      <c r="O244" s="40"/>
      <c r="P244" s="40"/>
      <c r="Q244" s="40"/>
      <c r="R244" s="40"/>
      <c r="S244" s="40"/>
      <c r="T244" s="40"/>
      <c r="U244" s="40"/>
    </row>
    <row r="245" spans="1:21" ht="15" thickBot="1">
      <c r="A245" s="451" t="s">
        <v>336</v>
      </c>
      <c r="B245" s="450" t="str">
        <f>B239</f>
        <v>Año 1</v>
      </c>
      <c r="C245" s="450" t="str">
        <f>C239</f>
        <v>Año 2</v>
      </c>
      <c r="D245" s="450" t="str">
        <f>D239</f>
        <v>Año 3</v>
      </c>
      <c r="E245" s="448" t="s">
        <v>405</v>
      </c>
      <c r="F245" s="448" t="s">
        <v>406</v>
      </c>
      <c r="G245" s="42"/>
      <c r="H245" s="42"/>
      <c r="I245" s="42"/>
      <c r="J245" s="42"/>
      <c r="K245" s="42"/>
      <c r="L245" s="42"/>
      <c r="M245" s="40"/>
      <c r="N245" s="40"/>
      <c r="O245" s="40"/>
      <c r="P245" s="40"/>
      <c r="Q245" s="40"/>
      <c r="R245" s="40"/>
      <c r="S245" s="40"/>
      <c r="T245" s="40"/>
      <c r="U245" s="40"/>
    </row>
    <row r="246" spans="1:21">
      <c r="A246" s="384" t="s">
        <v>337</v>
      </c>
      <c r="B246" s="385">
        <f>+K85/K76</f>
        <v>10.660204309307259</v>
      </c>
      <c r="C246" s="385">
        <f t="shared" ref="C246:F246" si="83">+L85/L76</f>
        <v>10.660204309307261</v>
      </c>
      <c r="D246" s="385">
        <f t="shared" si="83"/>
        <v>10.660204309307261</v>
      </c>
      <c r="E246" s="385">
        <f t="shared" si="83"/>
        <v>10.660204309307261</v>
      </c>
      <c r="F246" s="385">
        <f t="shared" si="83"/>
        <v>10.660204309307261</v>
      </c>
      <c r="G246" s="42"/>
      <c r="H246" s="42"/>
      <c r="I246" s="42"/>
      <c r="J246" s="42"/>
      <c r="K246" s="42"/>
      <c r="L246" s="42"/>
      <c r="M246" s="40"/>
      <c r="N246" s="40"/>
      <c r="O246" s="40"/>
      <c r="P246" s="40"/>
      <c r="Q246" s="40"/>
      <c r="R246" s="40"/>
      <c r="S246" s="40"/>
      <c r="T246" s="40"/>
      <c r="U246" s="40"/>
    </row>
    <row r="247" spans="1:21">
      <c r="A247" s="344" t="s">
        <v>339</v>
      </c>
      <c r="B247" s="386">
        <f>+K85/K49</f>
        <v>11.836917775564435</v>
      </c>
      <c r="C247" s="386">
        <f>+L85/L49</f>
        <v>11.836917775564435</v>
      </c>
      <c r="D247" s="386">
        <f>+M85/M49</f>
        <v>11.836917775564435</v>
      </c>
      <c r="E247" s="386">
        <f>+N85/N49</f>
        <v>11.836917775564437</v>
      </c>
      <c r="F247" s="386">
        <f>+O85/O49</f>
        <v>11.836917775564437</v>
      </c>
      <c r="G247" s="42"/>
      <c r="H247" s="42"/>
      <c r="I247" s="42"/>
      <c r="J247" s="42"/>
      <c r="K247" s="42"/>
      <c r="L247" s="42"/>
      <c r="M247" s="40"/>
      <c r="N247" s="40"/>
      <c r="O247" s="40"/>
      <c r="P247" s="40"/>
      <c r="Q247" s="40"/>
      <c r="R247" s="40"/>
      <c r="S247" s="40"/>
      <c r="T247" s="40"/>
      <c r="U247" s="40"/>
    </row>
    <row r="248" spans="1:21">
      <c r="A248" s="344" t="s">
        <v>341</v>
      </c>
      <c r="B248" s="386">
        <f>+K85/K42</f>
        <v>12.254214461683755</v>
      </c>
      <c r="C248" s="386">
        <f>+L85/L42</f>
        <v>12.254214461683755</v>
      </c>
      <c r="D248" s="386">
        <f>+M85/M42</f>
        <v>12.254214461683755</v>
      </c>
      <c r="E248" s="386">
        <f>+N85/N42</f>
        <v>12.254214461683755</v>
      </c>
      <c r="F248" s="386">
        <f>+O85/O42</f>
        <v>12.254214461683755</v>
      </c>
      <c r="G248" s="42"/>
      <c r="H248" s="42"/>
      <c r="I248" s="42"/>
      <c r="J248" s="42"/>
      <c r="K248" s="42"/>
      <c r="L248" s="42"/>
      <c r="M248" s="40"/>
      <c r="N248" s="40"/>
      <c r="O248" s="40"/>
      <c r="P248" s="40"/>
      <c r="Q248" s="40"/>
      <c r="R248" s="40"/>
      <c r="S248" s="40"/>
      <c r="T248" s="40"/>
      <c r="U248" s="40"/>
    </row>
    <row r="249" spans="1:21">
      <c r="A249" s="344" t="s">
        <v>343</v>
      </c>
      <c r="B249" s="386">
        <f t="shared" ref="B249:F250" si="84">+(K42/K85)*365</f>
        <v>29.78567097395554</v>
      </c>
      <c r="C249" s="386">
        <f t="shared" si="84"/>
        <v>29.785670973955533</v>
      </c>
      <c r="D249" s="386">
        <f t="shared" si="84"/>
        <v>29.785670973955533</v>
      </c>
      <c r="E249" s="386">
        <f t="shared" si="84"/>
        <v>29.78567097395554</v>
      </c>
      <c r="F249" s="386">
        <f t="shared" si="84"/>
        <v>29.78567097395554</v>
      </c>
      <c r="G249" s="42"/>
      <c r="H249" s="42"/>
      <c r="I249" s="42"/>
      <c r="J249" s="42"/>
      <c r="K249" s="42"/>
      <c r="L249" s="42"/>
      <c r="M249" s="40"/>
      <c r="N249" s="40"/>
      <c r="O249" s="40"/>
      <c r="P249" s="40"/>
      <c r="Q249" s="40"/>
      <c r="R249" s="40"/>
      <c r="S249" s="40"/>
      <c r="T249" s="40"/>
      <c r="U249" s="40"/>
    </row>
    <row r="250" spans="1:21">
      <c r="A250" s="344" t="s">
        <v>352</v>
      </c>
      <c r="B250" s="386">
        <f t="shared" si="84"/>
        <v>23.58791376613852</v>
      </c>
      <c r="C250" s="386">
        <f t="shared" si="84"/>
        <v>24.470883800165094</v>
      </c>
      <c r="D250" s="386">
        <f t="shared" si="84"/>
        <v>24.470883800165094</v>
      </c>
      <c r="E250" s="386">
        <f t="shared" si="84"/>
        <v>24.470883800165094</v>
      </c>
      <c r="F250" s="386">
        <f t="shared" si="84"/>
        <v>24.470883800165097</v>
      </c>
      <c r="G250" s="42"/>
      <c r="H250" s="42"/>
      <c r="I250" s="42"/>
      <c r="J250" s="42"/>
      <c r="K250" s="42"/>
      <c r="L250" s="42"/>
      <c r="M250" s="40"/>
      <c r="N250" s="40"/>
      <c r="O250" s="40"/>
      <c r="P250" s="40"/>
      <c r="Q250" s="40"/>
      <c r="R250" s="40"/>
      <c r="S250" s="40"/>
      <c r="T250" s="40"/>
      <c r="U250" s="40"/>
    </row>
    <row r="251" spans="1:21">
      <c r="A251" s="344" t="s">
        <v>346</v>
      </c>
      <c r="B251" s="386">
        <f>+B249+B250</f>
        <v>53.37358474009406</v>
      </c>
      <c r="C251" s="386">
        <f>+C249+C250</f>
        <v>54.25655477412063</v>
      </c>
      <c r="D251" s="386">
        <f>+D249+D250</f>
        <v>54.25655477412063</v>
      </c>
      <c r="E251" s="386">
        <f>+E249+E250</f>
        <v>54.25655477412063</v>
      </c>
      <c r="F251" s="386">
        <f>+F249+F250</f>
        <v>54.256554774120637</v>
      </c>
      <c r="G251" s="42"/>
      <c r="H251" s="42"/>
      <c r="I251" s="42"/>
      <c r="J251" s="42"/>
      <c r="K251" s="42"/>
      <c r="L251" s="42"/>
      <c r="M251" s="40"/>
      <c r="N251" s="40"/>
      <c r="O251" s="40"/>
      <c r="P251" s="40"/>
      <c r="Q251" s="40"/>
      <c r="R251" s="40"/>
      <c r="S251" s="40"/>
      <c r="T251" s="40"/>
      <c r="U251" s="40"/>
    </row>
    <row r="252" spans="1:21" ht="15" thickBot="1">
      <c r="A252" s="347" t="s">
        <v>348</v>
      </c>
      <c r="B252" s="387">
        <f>+(K58/K86)*365</f>
        <v>71.258397929870853</v>
      </c>
      <c r="C252" s="387">
        <f>+(L58/L86)*365</f>
        <v>73.925824590347304</v>
      </c>
      <c r="D252" s="387">
        <f>+(M58/M86)*365</f>
        <v>73.925824590347304</v>
      </c>
      <c r="E252" s="387">
        <f>+(N58/N86)*365</f>
        <v>73.925824590347304</v>
      </c>
      <c r="F252" s="387">
        <f>+(O58/O86)*365</f>
        <v>73.925824590347318</v>
      </c>
      <c r="G252" s="42"/>
      <c r="H252" s="42"/>
      <c r="I252" s="42"/>
      <c r="J252" s="42"/>
      <c r="K252" s="42"/>
      <c r="L252" s="42"/>
      <c r="M252" s="40"/>
      <c r="N252" s="40"/>
      <c r="O252" s="40"/>
      <c r="P252" s="40"/>
      <c r="Q252" s="40"/>
      <c r="R252" s="40"/>
      <c r="S252" s="40"/>
      <c r="T252" s="40"/>
      <c r="U252" s="40"/>
    </row>
    <row r="253" spans="1:21">
      <c r="A253" s="40"/>
      <c r="B253" s="40"/>
      <c r="C253" s="40"/>
      <c r="D253" s="40"/>
      <c r="E253" s="40"/>
      <c r="F253" s="40"/>
      <c r="G253" s="42"/>
      <c r="H253" s="42"/>
      <c r="I253" s="42"/>
      <c r="J253" s="42"/>
      <c r="K253" s="42"/>
      <c r="L253" s="42"/>
      <c r="M253" s="40"/>
      <c r="N253" s="40"/>
      <c r="O253" s="40"/>
      <c r="P253" s="40"/>
      <c r="Q253" s="40"/>
      <c r="R253" s="40"/>
      <c r="S253" s="40"/>
      <c r="T253" s="40"/>
      <c r="U253" s="40"/>
    </row>
    <row r="254" spans="1:21">
      <c r="A254" s="40"/>
      <c r="B254" s="40"/>
      <c r="C254" s="40"/>
      <c r="D254" s="40"/>
      <c r="E254" s="40"/>
      <c r="F254" s="40"/>
      <c r="G254" s="42"/>
      <c r="H254" s="42"/>
      <c r="I254" s="42"/>
      <c r="J254" s="42"/>
      <c r="K254" s="42"/>
      <c r="L254" s="42"/>
      <c r="M254" s="40"/>
      <c r="N254" s="40"/>
      <c r="O254" s="40"/>
      <c r="P254" s="40"/>
      <c r="Q254" s="40"/>
      <c r="R254" s="40"/>
      <c r="S254" s="40"/>
      <c r="T254" s="40"/>
      <c r="U254" s="40"/>
    </row>
    <row r="255" spans="1:21">
      <c r="A255" s="40"/>
      <c r="B255" s="40"/>
      <c r="C255" s="40"/>
      <c r="D255" s="40"/>
      <c r="E255" s="40"/>
      <c r="F255" s="40"/>
      <c r="G255" s="42"/>
      <c r="H255" s="42"/>
      <c r="I255" s="42"/>
      <c r="J255" s="42"/>
      <c r="K255" s="42"/>
      <c r="L255" s="42"/>
      <c r="M255" s="40"/>
      <c r="N255" s="40"/>
      <c r="O255" s="40"/>
      <c r="P255" s="40"/>
      <c r="Q255" s="40"/>
      <c r="R255" s="40"/>
      <c r="S255" s="40"/>
      <c r="T255" s="40"/>
      <c r="U255" s="40"/>
    </row>
    <row r="256" spans="1:21">
      <c r="A256" s="452" t="s">
        <v>353</v>
      </c>
      <c r="B256" s="452" t="str">
        <f t="shared" ref="B256:F256" si="85">B245</f>
        <v>Año 1</v>
      </c>
      <c r="C256" s="452" t="str">
        <f t="shared" si="85"/>
        <v>Año 2</v>
      </c>
      <c r="D256" s="452" t="str">
        <f t="shared" si="85"/>
        <v>Año 3</v>
      </c>
      <c r="E256" s="452" t="str">
        <f t="shared" si="85"/>
        <v>Año 4</v>
      </c>
      <c r="F256" s="452" t="str">
        <f t="shared" si="85"/>
        <v>Año 5</v>
      </c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</row>
    <row r="257" spans="1:21">
      <c r="A257" s="51" t="s">
        <v>354</v>
      </c>
      <c r="B257" s="306">
        <f t="shared" ref="B257:F258" si="86">B249</f>
        <v>29.78567097395554</v>
      </c>
      <c r="C257" s="306">
        <f t="shared" si="86"/>
        <v>29.785670973955533</v>
      </c>
      <c r="D257" s="306">
        <f t="shared" si="86"/>
        <v>29.785670973955533</v>
      </c>
      <c r="E257" s="306">
        <f t="shared" si="86"/>
        <v>29.78567097395554</v>
      </c>
      <c r="F257" s="306">
        <f t="shared" si="86"/>
        <v>29.78567097395554</v>
      </c>
      <c r="G257" s="16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</row>
    <row r="258" spans="1:21">
      <c r="A258" s="51" t="s">
        <v>276</v>
      </c>
      <c r="B258" s="306">
        <f t="shared" si="86"/>
        <v>23.58791376613852</v>
      </c>
      <c r="C258" s="306">
        <f t="shared" si="86"/>
        <v>24.470883800165094</v>
      </c>
      <c r="D258" s="306">
        <f t="shared" si="86"/>
        <v>24.470883800165094</v>
      </c>
      <c r="E258" s="306">
        <f t="shared" si="86"/>
        <v>24.470883800165094</v>
      </c>
      <c r="F258" s="306">
        <f t="shared" si="86"/>
        <v>24.470883800165097</v>
      </c>
      <c r="G258" s="16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</row>
    <row r="259" spans="1:21">
      <c r="A259" s="51" t="s">
        <v>204</v>
      </c>
      <c r="B259" s="306">
        <f t="shared" ref="B259:F259" si="87">B252</f>
        <v>71.258397929870853</v>
      </c>
      <c r="C259" s="306">
        <f t="shared" si="87"/>
        <v>73.925824590347304</v>
      </c>
      <c r="D259" s="306">
        <f t="shared" si="87"/>
        <v>73.925824590347304</v>
      </c>
      <c r="E259" s="306">
        <f t="shared" si="87"/>
        <v>73.925824590347304</v>
      </c>
      <c r="F259" s="306">
        <f t="shared" si="87"/>
        <v>73.925824590347318</v>
      </c>
      <c r="G259" s="16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</row>
    <row r="260" spans="1:21">
      <c r="A260" s="51" t="s">
        <v>346</v>
      </c>
      <c r="B260" s="284">
        <f>B257+B258-B259</f>
        <v>-17.884813189776793</v>
      </c>
      <c r="C260" s="284">
        <f t="shared" ref="C260:F260" si="88">C257+C258-C259</f>
        <v>-19.669269816226674</v>
      </c>
      <c r="D260" s="284">
        <f t="shared" si="88"/>
        <v>-19.669269816226674</v>
      </c>
      <c r="E260" s="284">
        <f t="shared" si="88"/>
        <v>-19.669269816226674</v>
      </c>
      <c r="F260" s="284">
        <f t="shared" si="88"/>
        <v>-19.669269816226681</v>
      </c>
      <c r="G260" s="16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</row>
    <row r="261" spans="1:2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</row>
    <row r="262" spans="1:2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</row>
  </sheetData>
  <mergeCells count="93">
    <mergeCell ref="A103:G103"/>
    <mergeCell ref="A102:G102"/>
    <mergeCell ref="A88:G88"/>
    <mergeCell ref="A89:G89"/>
    <mergeCell ref="A90:G90"/>
    <mergeCell ref="A92:G92"/>
    <mergeCell ref="A93:G93"/>
    <mergeCell ref="A91:E91"/>
    <mergeCell ref="A94:G94"/>
    <mergeCell ref="A96:G96"/>
    <mergeCell ref="A97:G97"/>
    <mergeCell ref="A98:G98"/>
    <mergeCell ref="A80:G80"/>
    <mergeCell ref="A83:G83"/>
    <mergeCell ref="A85:G85"/>
    <mergeCell ref="A86:G86"/>
    <mergeCell ref="A87:G87"/>
    <mergeCell ref="A84:E84"/>
    <mergeCell ref="A73:G73"/>
    <mergeCell ref="A74:G74"/>
    <mergeCell ref="A75:G75"/>
    <mergeCell ref="A76:G76"/>
    <mergeCell ref="A78:G78"/>
    <mergeCell ref="A60:G60"/>
    <mergeCell ref="A61:G61"/>
    <mergeCell ref="A62:G62"/>
    <mergeCell ref="A64:G64"/>
    <mergeCell ref="A65:G65"/>
    <mergeCell ref="A54:G54"/>
    <mergeCell ref="A56:G56"/>
    <mergeCell ref="A57:G57"/>
    <mergeCell ref="A58:G58"/>
    <mergeCell ref="A59:G59"/>
    <mergeCell ref="A48:G48"/>
    <mergeCell ref="A49:G49"/>
    <mergeCell ref="A50:G50"/>
    <mergeCell ref="A51:G51"/>
    <mergeCell ref="A52:G52"/>
    <mergeCell ref="A42:G42"/>
    <mergeCell ref="A43:G43"/>
    <mergeCell ref="A44:G44"/>
    <mergeCell ref="A45:G45"/>
    <mergeCell ref="A47:G47"/>
    <mergeCell ref="K84:O84"/>
    <mergeCell ref="R14:AB14"/>
    <mergeCell ref="A95:E95"/>
    <mergeCell ref="A71:E71"/>
    <mergeCell ref="A69:E69"/>
    <mergeCell ref="A66:G66"/>
    <mergeCell ref="A67:G67"/>
    <mergeCell ref="A72:G72"/>
    <mergeCell ref="A63:E63"/>
    <mergeCell ref="R58:AA58"/>
    <mergeCell ref="A46:E46"/>
    <mergeCell ref="A35:P35"/>
    <mergeCell ref="A36:P36"/>
    <mergeCell ref="A37:P37"/>
    <mergeCell ref="A39:E39"/>
    <mergeCell ref="A38:G38"/>
    <mergeCell ref="A40:G40"/>
    <mergeCell ref="A41:G41"/>
    <mergeCell ref="A33:P34"/>
    <mergeCell ref="A26:E26"/>
    <mergeCell ref="A27:E27"/>
    <mergeCell ref="A28:E28"/>
    <mergeCell ref="A29:E29"/>
    <mergeCell ref="A30:E30"/>
    <mergeCell ref="G30:J30"/>
    <mergeCell ref="K30:O30"/>
    <mergeCell ref="A32:O32"/>
    <mergeCell ref="A24:E24"/>
    <mergeCell ref="A25:E25"/>
    <mergeCell ref="A17:P18"/>
    <mergeCell ref="A19:P19"/>
    <mergeCell ref="A20:P20"/>
    <mergeCell ref="K25:O28"/>
    <mergeCell ref="A14:P14"/>
    <mergeCell ref="A15:E15"/>
    <mergeCell ref="A21:P21"/>
    <mergeCell ref="A22:P22"/>
    <mergeCell ref="F23:J23"/>
    <mergeCell ref="K23:O23"/>
    <mergeCell ref="A1:P5"/>
    <mergeCell ref="A9:P10"/>
    <mergeCell ref="A11:P11"/>
    <mergeCell ref="A12:P12"/>
    <mergeCell ref="A13:P13"/>
    <mergeCell ref="A222:F222"/>
    <mergeCell ref="A231:F231"/>
    <mergeCell ref="A238:F238"/>
    <mergeCell ref="A244:F244"/>
    <mergeCell ref="A110:B110"/>
    <mergeCell ref="A177:B177"/>
  </mergeCells>
  <phoneticPr fontId="73" type="noConversion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16</xdr:col>
                <xdr:colOff>228600</xdr:colOff>
                <xdr:row>69</xdr:row>
                <xdr:rowOff>30480</xdr:rowOff>
              </from>
              <to>
                <xdr:col>17</xdr:col>
                <xdr:colOff>30480</xdr:colOff>
                <xdr:row>73</xdr:row>
                <xdr:rowOff>15240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>
    <tabColor rgb="FF00B0F0"/>
  </sheetPr>
  <dimension ref="A1:Q203"/>
  <sheetViews>
    <sheetView showGridLines="0" topLeftCell="A190" zoomScale="80" zoomScaleNormal="80" workbookViewId="0">
      <selection activeCell="A206" sqref="A206"/>
    </sheetView>
  </sheetViews>
  <sheetFormatPr baseColWidth="10" defaultColWidth="11.44140625" defaultRowHeight="14.4"/>
  <cols>
    <col min="1" max="4" width="11.44140625" style="1"/>
    <col min="5" max="5" width="30" style="1" customWidth="1"/>
    <col min="6" max="6" width="17.33203125" style="1" customWidth="1"/>
    <col min="7" max="7" width="16.88671875" style="1" customWidth="1"/>
    <col min="8" max="8" width="18" style="1" customWidth="1"/>
    <col min="9" max="9" width="24.44140625" style="1" customWidth="1"/>
    <col min="10" max="10" width="18.44140625" style="1" customWidth="1"/>
    <col min="11" max="11" width="15.44140625" style="1" customWidth="1"/>
    <col min="12" max="13" width="11.44140625" style="1"/>
    <col min="14" max="14" width="13.33203125" style="1" customWidth="1"/>
    <col min="15" max="15" width="11.44140625" style="1"/>
    <col min="16" max="16" width="15.88671875" style="1" customWidth="1"/>
    <col min="17" max="16384" width="11.44140625" style="1"/>
  </cols>
  <sheetData>
    <row r="1" spans="1:17">
      <c r="A1" s="796" t="s">
        <v>177</v>
      </c>
      <c r="B1" s="797"/>
      <c r="C1" s="797"/>
      <c r="D1" s="797"/>
      <c r="E1" s="797"/>
      <c r="F1" s="797"/>
      <c r="G1" s="797"/>
      <c r="H1" s="797"/>
      <c r="I1" s="797"/>
      <c r="J1" s="797"/>
      <c r="K1" s="797"/>
      <c r="L1" s="797"/>
      <c r="M1" s="797"/>
      <c r="N1" s="797"/>
      <c r="O1" s="797"/>
      <c r="P1" s="797"/>
      <c r="Q1" s="798"/>
    </row>
    <row r="2" spans="1:17" ht="15" thickBot="1">
      <c r="A2" s="799"/>
      <c r="B2" s="800"/>
      <c r="C2" s="800"/>
      <c r="D2" s="800"/>
      <c r="E2" s="800"/>
      <c r="F2" s="800"/>
      <c r="G2" s="800"/>
      <c r="H2" s="800"/>
      <c r="I2" s="800"/>
      <c r="J2" s="800"/>
      <c r="K2" s="800"/>
      <c r="L2" s="800"/>
      <c r="M2" s="800"/>
      <c r="N2" s="800"/>
      <c r="O2" s="800"/>
      <c r="P2" s="800"/>
      <c r="Q2" s="801"/>
    </row>
    <row r="3" spans="1:17" ht="22.8">
      <c r="A3" s="585" t="s">
        <v>373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7"/>
    </row>
    <row r="4" spans="1:17">
      <c r="A4" s="542" t="s">
        <v>41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88"/>
    </row>
    <row r="5" spans="1:17">
      <c r="A5" s="542" t="s">
        <v>3</v>
      </c>
      <c r="B5" s="543"/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88"/>
    </row>
    <row r="6" spans="1:17" ht="15" thickBot="1">
      <c r="A6" s="599" t="s">
        <v>2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1"/>
    </row>
    <row r="7" spans="1:17" ht="22.2" thickBot="1">
      <c r="A7" s="866" t="s">
        <v>52</v>
      </c>
      <c r="B7" s="867"/>
      <c r="C7" s="867"/>
      <c r="D7" s="867"/>
      <c r="E7" s="867"/>
      <c r="F7" s="868"/>
      <c r="G7" s="40"/>
      <c r="H7" s="40"/>
      <c r="I7" s="40"/>
      <c r="J7" s="40"/>
      <c r="K7" s="40"/>
      <c r="L7" s="40"/>
      <c r="M7" s="40"/>
      <c r="N7" s="40"/>
      <c r="O7" s="40"/>
    </row>
    <row r="8" spans="1:17" ht="22.2" thickBot="1">
      <c r="A8" s="698" t="s">
        <v>43</v>
      </c>
      <c r="B8" s="699"/>
      <c r="C8" s="699"/>
      <c r="D8" s="699"/>
      <c r="E8" s="699"/>
      <c r="F8" s="700"/>
      <c r="G8" s="40"/>
      <c r="H8" s="40"/>
      <c r="I8" s="866" t="s">
        <v>90</v>
      </c>
      <c r="J8" s="867"/>
      <c r="K8" s="867"/>
      <c r="L8" s="867"/>
      <c r="M8" s="867"/>
      <c r="N8" s="868"/>
      <c r="O8" s="40"/>
    </row>
    <row r="9" spans="1:17" ht="43.2">
      <c r="A9" s="869" t="s">
        <v>91</v>
      </c>
      <c r="B9" s="870"/>
      <c r="C9" s="870"/>
      <c r="D9" s="870"/>
      <c r="E9" s="871"/>
      <c r="F9" s="250">
        <f>'Valoración Sin Estrategia'!F9</f>
        <v>2019</v>
      </c>
      <c r="G9" s="40"/>
      <c r="H9" s="40"/>
      <c r="I9" s="251" t="s">
        <v>53</v>
      </c>
      <c r="J9" s="252" t="s">
        <v>57</v>
      </c>
      <c r="K9" s="252" t="s">
        <v>44</v>
      </c>
      <c r="L9" s="252" t="s">
        <v>45</v>
      </c>
      <c r="M9" s="252" t="s">
        <v>46</v>
      </c>
      <c r="N9" s="253" t="s">
        <v>47</v>
      </c>
      <c r="O9" s="44"/>
    </row>
    <row r="10" spans="1:17" ht="15.6">
      <c r="A10" s="693" t="s">
        <v>54</v>
      </c>
      <c r="B10" s="693"/>
      <c r="C10" s="693"/>
      <c r="D10" s="693"/>
      <c r="E10" s="693"/>
      <c r="F10" s="46">
        <f>AVERAGE(K10:K19)</f>
        <v>4.35069572829615E-2</v>
      </c>
      <c r="G10" s="686" t="s">
        <v>62</v>
      </c>
      <c r="H10" s="49"/>
      <c r="I10" s="180">
        <v>2010</v>
      </c>
      <c r="J10" s="39">
        <v>0.14821092278719414</v>
      </c>
      <c r="K10" s="39">
        <v>8.4629338803557719E-2</v>
      </c>
      <c r="L10" s="39">
        <v>1.6400399999999999E-2</v>
      </c>
      <c r="M10" s="39">
        <v>3.1699999999999999E-2</v>
      </c>
      <c r="N10" s="39">
        <v>1.72E-2</v>
      </c>
      <c r="O10" s="45"/>
      <c r="P10" s="18"/>
    </row>
    <row r="11" spans="1:17">
      <c r="A11" s="697" t="s">
        <v>48</v>
      </c>
      <c r="B11" s="697"/>
      <c r="C11" s="697"/>
      <c r="D11" s="697"/>
      <c r="E11" s="697"/>
      <c r="F11" s="46">
        <f>AVERAGE(L10:L19)</f>
        <v>1.8196170000000001E-2</v>
      </c>
      <c r="G11" s="686"/>
      <c r="H11" s="49"/>
      <c r="I11" s="180">
        <v>2011</v>
      </c>
      <c r="J11" s="39">
        <v>2.09837473362805E-2</v>
      </c>
      <c r="K11" s="39">
        <v>0.16035334999461354</v>
      </c>
      <c r="L11" s="39">
        <v>3.1568399999999996E-2</v>
      </c>
      <c r="M11" s="39">
        <v>3.73E-2</v>
      </c>
      <c r="N11" s="39">
        <v>1.95E-2</v>
      </c>
      <c r="O11" s="45"/>
    </row>
    <row r="12" spans="1:17">
      <c r="A12" s="693" t="s">
        <v>49</v>
      </c>
      <c r="B12" s="693"/>
      <c r="C12" s="693"/>
      <c r="D12" s="693"/>
      <c r="E12" s="693"/>
      <c r="F12" s="47">
        <f>((1+F10)/(1+F11))-1</f>
        <v>2.4858458545332862E-2</v>
      </c>
      <c r="G12" s="686"/>
      <c r="H12" s="49"/>
      <c r="I12" s="180">
        <v>2012</v>
      </c>
      <c r="J12" s="39">
        <v>0.15890585241730293</v>
      </c>
      <c r="K12" s="39">
        <v>2.971571978018946E-2</v>
      </c>
      <c r="L12" s="39">
        <v>2.0693400000000001E-2</v>
      </c>
      <c r="M12" s="39">
        <v>2.4400000000000002E-2</v>
      </c>
      <c r="N12" s="39">
        <v>1.12E-2</v>
      </c>
      <c r="O12" s="45"/>
    </row>
    <row r="13" spans="1:17">
      <c r="A13" s="42"/>
      <c r="B13" s="40"/>
      <c r="C13" s="40"/>
      <c r="D13" s="40"/>
      <c r="E13" s="40"/>
      <c r="F13" s="40"/>
      <c r="G13" s="686"/>
      <c r="H13" s="49"/>
      <c r="I13" s="180">
        <v>2013</v>
      </c>
      <c r="J13" s="39">
        <v>0.32145085858125483</v>
      </c>
      <c r="K13" s="39">
        <v>-9.104568794347262E-2</v>
      </c>
      <c r="L13" s="39">
        <v>1.4648300000000001E-2</v>
      </c>
      <c r="M13" s="39">
        <v>1.9400000000000001E-2</v>
      </c>
      <c r="N13" s="39">
        <v>1.66E-2</v>
      </c>
      <c r="O13" s="45"/>
    </row>
    <row r="14" spans="1:17">
      <c r="A14" s="697" t="s">
        <v>50</v>
      </c>
      <c r="B14" s="697"/>
      <c r="C14" s="697"/>
      <c r="D14" s="697"/>
      <c r="E14" s="697"/>
      <c r="F14" s="46">
        <f>AVERAGE(M10:M19)</f>
        <v>3.8529999999999995E-2</v>
      </c>
      <c r="G14" s="686"/>
      <c r="H14" s="49"/>
      <c r="I14" s="180">
        <v>2014</v>
      </c>
      <c r="J14" s="39">
        <v>0.13524421649462237</v>
      </c>
      <c r="K14" s="39">
        <v>0.10746180452004755</v>
      </c>
      <c r="L14" s="39">
        <v>1.6222199999999999E-2</v>
      </c>
      <c r="M14" s="39">
        <v>3.6600000000000001E-2</v>
      </c>
      <c r="N14" s="39">
        <v>1.9599999999999999E-2</v>
      </c>
      <c r="O14" s="45"/>
    </row>
    <row r="15" spans="1:17">
      <c r="A15" s="693" t="s">
        <v>55</v>
      </c>
      <c r="B15" s="693"/>
      <c r="C15" s="693"/>
      <c r="D15" s="693"/>
      <c r="E15" s="693"/>
      <c r="F15" s="48">
        <f>((1+F14)*(1+F12))-1</f>
        <v>6.4346254953084436E-2</v>
      </c>
      <c r="G15" s="686"/>
      <c r="H15" s="49"/>
      <c r="I15" s="180">
        <v>2015</v>
      </c>
      <c r="J15" s="39">
        <v>1.3788916411676138E-2</v>
      </c>
      <c r="K15" s="39">
        <v>1.2842996709792224E-2</v>
      </c>
      <c r="L15" s="39">
        <v>1.1862999999999999E-3</v>
      </c>
      <c r="M15" s="39">
        <v>6.7699999999999996E-2</v>
      </c>
      <c r="N15" s="39">
        <v>3.2099999999999997E-2</v>
      </c>
      <c r="O15" s="45"/>
    </row>
    <row r="16" spans="1:17">
      <c r="A16" s="42"/>
      <c r="B16" s="40"/>
      <c r="C16" s="40"/>
      <c r="D16" s="40"/>
      <c r="E16" s="40"/>
      <c r="F16" s="40"/>
      <c r="G16" s="40"/>
      <c r="H16" s="40"/>
      <c r="I16" s="180">
        <v>2016</v>
      </c>
      <c r="J16" s="39">
        <v>0.11773080874798171</v>
      </c>
      <c r="K16" s="39">
        <v>6.9055046987477921E-3</v>
      </c>
      <c r="L16" s="39">
        <v>1.26158E-2</v>
      </c>
      <c r="M16" s="39">
        <v>5.7500000000000002E-2</v>
      </c>
      <c r="N16" s="39">
        <v>2.2700000000000001E-2</v>
      </c>
      <c r="O16" s="45"/>
    </row>
    <row r="17" spans="1:15">
      <c r="A17" s="692" t="s">
        <v>51</v>
      </c>
      <c r="B17" s="692"/>
      <c r="C17" s="692"/>
      <c r="D17" s="692"/>
      <c r="E17" s="692"/>
      <c r="F17" s="41">
        <f>+AVERAGE(N10:N19)</f>
        <v>1.9550000000000001E-2</v>
      </c>
      <c r="G17" s="687" t="s">
        <v>63</v>
      </c>
      <c r="H17" s="40"/>
      <c r="I17" s="180">
        <v>2017</v>
      </c>
      <c r="J17" s="39">
        <v>0.2160548143449928</v>
      </c>
      <c r="K17" s="39">
        <v>2.8017162707789457E-2</v>
      </c>
      <c r="L17" s="39">
        <v>2.1301100000000003E-2</v>
      </c>
      <c r="M17" s="39">
        <v>4.0899999999999999E-2</v>
      </c>
      <c r="N17" s="39">
        <v>1.7399999999999999E-2</v>
      </c>
      <c r="O17" s="45"/>
    </row>
    <row r="18" spans="1:15">
      <c r="A18" s="689"/>
      <c r="B18" s="690"/>
      <c r="C18" s="690"/>
      <c r="D18" s="690"/>
      <c r="E18" s="690"/>
      <c r="F18" s="691"/>
      <c r="G18" s="687"/>
      <c r="H18" s="40"/>
      <c r="I18" s="180">
        <v>2018</v>
      </c>
      <c r="J18" s="39">
        <v>-4.2268692890885438E-2</v>
      </c>
      <c r="K18" s="39">
        <v>-1.6692385713402633E-4</v>
      </c>
      <c r="L18" s="39">
        <v>2.4425800000000001E-2</v>
      </c>
      <c r="M18" s="39">
        <v>3.1800000000000002E-2</v>
      </c>
      <c r="N18" s="39">
        <v>2.3099999999999999E-2</v>
      </c>
      <c r="O18" s="45"/>
    </row>
    <row r="19" spans="1:15">
      <c r="A19" s="42"/>
      <c r="B19" s="40"/>
      <c r="C19" s="40"/>
      <c r="D19" s="40"/>
      <c r="E19" s="40"/>
      <c r="F19" s="40"/>
      <c r="G19" s="40"/>
      <c r="H19" s="40"/>
      <c r="I19" s="180">
        <v>2019</v>
      </c>
      <c r="J19" s="39">
        <v>0.31223647206653782</v>
      </c>
      <c r="K19" s="39">
        <v>9.6356307415483927E-2</v>
      </c>
      <c r="L19" s="39">
        <v>2.29E-2</v>
      </c>
      <c r="M19" s="39">
        <v>3.7999999999999999E-2</v>
      </c>
      <c r="N19" s="39">
        <v>1.61E-2</v>
      </c>
      <c r="O19" s="45"/>
    </row>
    <row r="20" spans="1:15" ht="15.6">
      <c r="A20" s="683" t="s">
        <v>59</v>
      </c>
      <c r="B20" s="683"/>
      <c r="C20" s="683"/>
      <c r="D20" s="683"/>
      <c r="E20" s="683"/>
      <c r="F20" s="24">
        <f>AVERAGE(J10:J19)</f>
        <v>0.14023379162969576</v>
      </c>
      <c r="G20" s="688" t="s">
        <v>61</v>
      </c>
      <c r="I20" s="192"/>
      <c r="J20" s="193"/>
      <c r="K20" s="193"/>
      <c r="L20" s="193"/>
      <c r="M20" s="193"/>
      <c r="N20" s="193"/>
      <c r="O20" s="45"/>
    </row>
    <row r="21" spans="1:15">
      <c r="A21" s="684" t="s">
        <v>48</v>
      </c>
      <c r="B21" s="684"/>
      <c r="C21" s="684"/>
      <c r="D21" s="684"/>
      <c r="E21" s="684"/>
      <c r="F21" s="46">
        <f>F11</f>
        <v>1.8196170000000001E-2</v>
      </c>
      <c r="G21" s="688"/>
      <c r="I21" s="40"/>
    </row>
    <row r="22" spans="1:15">
      <c r="A22" s="685" t="s">
        <v>60</v>
      </c>
      <c r="B22" s="685"/>
      <c r="C22" s="685"/>
      <c r="D22" s="685"/>
      <c r="E22" s="685"/>
      <c r="F22" s="47">
        <f>((1+F20)/(1+F21)-1)</f>
        <v>0.11985668894206891</v>
      </c>
      <c r="G22" s="688"/>
    </row>
    <row r="23" spans="1:15">
      <c r="G23" s="688"/>
    </row>
    <row r="24" spans="1:15">
      <c r="A24" s="684" t="s">
        <v>50</v>
      </c>
      <c r="B24" s="684"/>
      <c r="C24" s="684"/>
      <c r="D24" s="684"/>
      <c r="E24" s="684"/>
      <c r="F24" s="46">
        <f>F14</f>
        <v>3.8529999999999995E-2</v>
      </c>
      <c r="G24" s="688"/>
    </row>
    <row r="25" spans="1:15">
      <c r="A25" s="685" t="s">
        <v>58</v>
      </c>
      <c r="B25" s="685"/>
      <c r="C25" s="685"/>
      <c r="D25" s="685"/>
      <c r="E25" s="685"/>
      <c r="F25" s="48">
        <f>((1+F24)*(1+F22)-1)</f>
        <v>0.16300476716700674</v>
      </c>
      <c r="G25" s="688"/>
    </row>
    <row r="27" spans="1:15" ht="15.6">
      <c r="A27" s="682" t="s">
        <v>56</v>
      </c>
      <c r="B27" s="682"/>
      <c r="C27" s="682"/>
      <c r="D27" s="682"/>
      <c r="E27" s="682"/>
      <c r="F27" s="43">
        <f>F25-F15</f>
        <v>9.86585122139223E-2</v>
      </c>
    </row>
    <row r="30" spans="1:15">
      <c r="A30" s="524" t="s">
        <v>64</v>
      </c>
      <c r="B30" s="524"/>
      <c r="C30" s="524"/>
      <c r="D30" s="524"/>
      <c r="E30" s="524"/>
      <c r="F30" s="51">
        <f>+'Valoración Sin Estrategia'!F30</f>
        <v>0.34</v>
      </c>
      <c r="G30" s="52" t="s">
        <v>73</v>
      </c>
    </row>
    <row r="32" spans="1:15">
      <c r="F32" s="22">
        <f>'Estrategias Operativas'!E10</f>
        <v>2020</v>
      </c>
      <c r="G32" s="22">
        <f>'Estrategias Operativas'!F10</f>
        <v>2021</v>
      </c>
      <c r="H32" s="22">
        <f>'Estrategias Operativas'!G10</f>
        <v>2022</v>
      </c>
      <c r="I32" s="22">
        <f>'Estrategias Operativas'!H10</f>
        <v>2023</v>
      </c>
      <c r="J32" s="22">
        <f>'Estrategias Operativas'!I10</f>
        <v>2024</v>
      </c>
    </row>
    <row r="33" spans="1:10">
      <c r="A33" s="872" t="s">
        <v>66</v>
      </c>
      <c r="B33" s="872"/>
      <c r="C33" s="872"/>
      <c r="D33" s="872"/>
      <c r="E33" s="872"/>
      <c r="F33" s="10">
        <f>+'Estados Finan + Estrategia'!J57+'Estados Finan + Estrategia'!J64</f>
        <v>135000000</v>
      </c>
      <c r="G33" s="10">
        <f>+'Estados Finan + Estrategia'!K57+'Estados Finan + Estrategia'!K64</f>
        <v>0</v>
      </c>
      <c r="H33" s="10">
        <f>+'Estados Finan + Estrategia'!L57+'Estados Finan + Estrategia'!L64</f>
        <v>0</v>
      </c>
      <c r="I33" s="10">
        <f>+'Estados Finan + Estrategia'!M57+'Estados Finan + Estrategia'!M64</f>
        <v>0</v>
      </c>
      <c r="J33" s="10">
        <f>+'Estados Finan + Estrategia'!N57+'Estados Finan + Estrategia'!N64</f>
        <v>0</v>
      </c>
    </row>
    <row r="34" spans="1:10">
      <c r="A34" s="872" t="s">
        <v>65</v>
      </c>
      <c r="B34" s="872"/>
      <c r="C34" s="872"/>
      <c r="D34" s="872"/>
      <c r="E34" s="872"/>
      <c r="F34" s="10">
        <f>+'Estados Finan + Estrategia'!J76</f>
        <v>-110209426</v>
      </c>
      <c r="G34" s="10">
        <f>+'Estados Finan + Estrategia'!K76</f>
        <v>139287325.34780002</v>
      </c>
      <c r="H34" s="10">
        <f>+'Estados Finan + Estrategia'!L76</f>
        <v>137147314.88115638</v>
      </c>
      <c r="I34" s="10">
        <f>+'Estados Finan + Estrategia'!M76</f>
        <v>137116456.73530811</v>
      </c>
      <c r="J34" s="10">
        <f>+'Estados Finan + Estrategia'!N76</f>
        <v>141229401.97154042</v>
      </c>
    </row>
    <row r="35" spans="1:10">
      <c r="A35" s="872" t="s">
        <v>67</v>
      </c>
      <c r="B35" s="872"/>
      <c r="C35" s="872"/>
      <c r="D35" s="872"/>
      <c r="E35" s="872"/>
      <c r="F35" s="280">
        <f>$F$30*(1+(1-('Estados Finan + Estrategia'!K97/'Estados Finan + Estrategia'!K96))*F33/F34)</f>
        <v>6.0958532167656933E-2</v>
      </c>
      <c r="G35" s="280">
        <f>$F$30*(1+(1-('Estados Finan + Estrategia'!L97/'Estados Finan + Estrategia'!L96))*G33/G34)</f>
        <v>0.34</v>
      </c>
      <c r="H35" s="280">
        <f>$F$30*(1+(1-('Estados Finan + Estrategia'!M97/'Estados Finan + Estrategia'!M96))*H33/H34)</f>
        <v>0.34</v>
      </c>
      <c r="I35" s="280">
        <f>$F$30*(1+(1-('Estados Finan + Estrategia'!N97/'Estados Finan + Estrategia'!N96))*I33/I34)</f>
        <v>0.34</v>
      </c>
      <c r="J35" s="280">
        <f>$F$30*(1+(1-('Estados Finan + Estrategia'!O97/'Estados Finan + Estrategia'!O96))*J33/J34)</f>
        <v>0.34</v>
      </c>
    </row>
    <row r="37" spans="1:10" ht="15.6">
      <c r="A37" s="873" t="s">
        <v>68</v>
      </c>
      <c r="B37" s="873"/>
      <c r="C37" s="873"/>
      <c r="D37" s="873"/>
      <c r="E37" s="873"/>
      <c r="F37" s="19">
        <f>$F$15+($F$25-$F$15)*F35+$F$17</f>
        <v>8.9910333043489984E-2</v>
      </c>
      <c r="G37" s="19">
        <f t="shared" ref="G37:J37" si="0">$F$15+($F$25-$F$15)*G35+$F$17</f>
        <v>0.11744014910581803</v>
      </c>
      <c r="H37" s="19">
        <f t="shared" si="0"/>
        <v>0.11744014910581803</v>
      </c>
      <c r="I37" s="19">
        <f t="shared" si="0"/>
        <v>0.11744014910581803</v>
      </c>
      <c r="J37" s="19">
        <f t="shared" si="0"/>
        <v>0.11744014910581803</v>
      </c>
    </row>
    <row r="40" spans="1:10">
      <c r="A40" s="881" t="s">
        <v>70</v>
      </c>
      <c r="B40" s="882"/>
      <c r="C40" s="882"/>
      <c r="D40" s="882"/>
      <c r="E40" s="883"/>
      <c r="F40" s="13">
        <f>+F33/(F33+F34)</f>
        <v>5.4456181611607706</v>
      </c>
      <c r="G40" s="13">
        <f t="shared" ref="G40:J40" si="1">+G33/(G33+G34)</f>
        <v>0</v>
      </c>
      <c r="H40" s="13">
        <f t="shared" si="1"/>
        <v>0</v>
      </c>
      <c r="I40" s="13">
        <f t="shared" si="1"/>
        <v>0</v>
      </c>
      <c r="J40" s="13">
        <f t="shared" si="1"/>
        <v>0</v>
      </c>
    </row>
    <row r="41" spans="1:10">
      <c r="A41" s="881" t="s">
        <v>69</v>
      </c>
      <c r="B41" s="882"/>
      <c r="C41" s="882"/>
      <c r="D41" s="882"/>
      <c r="E41" s="883"/>
      <c r="F41" s="13">
        <f>F34/(F33+F34)</f>
        <v>-4.4456181611607706</v>
      </c>
      <c r="G41" s="13">
        <f t="shared" ref="G41:J41" si="2">G34/(G33+G34)</f>
        <v>1</v>
      </c>
      <c r="H41" s="13">
        <f t="shared" si="2"/>
        <v>1</v>
      </c>
      <c r="I41" s="13">
        <f t="shared" si="2"/>
        <v>1</v>
      </c>
      <c r="J41" s="13">
        <f t="shared" si="2"/>
        <v>1</v>
      </c>
    </row>
    <row r="42" spans="1:10">
      <c r="A42" s="884" t="s">
        <v>72</v>
      </c>
      <c r="B42" s="885"/>
      <c r="C42" s="885"/>
      <c r="D42" s="885"/>
      <c r="E42" s="886"/>
      <c r="F42" s="152">
        <f>SUM(F40:F41)</f>
        <v>1</v>
      </c>
      <c r="G42" s="152">
        <f t="shared" ref="G42:J42" si="3">SUM(G40:G41)</f>
        <v>1</v>
      </c>
      <c r="H42" s="152">
        <f t="shared" si="3"/>
        <v>1</v>
      </c>
      <c r="I42" s="152">
        <f t="shared" si="3"/>
        <v>1</v>
      </c>
      <c r="J42" s="152">
        <f t="shared" si="3"/>
        <v>1</v>
      </c>
    </row>
    <row r="44" spans="1:10">
      <c r="A44" s="872" t="s">
        <v>71</v>
      </c>
      <c r="B44" s="872"/>
      <c r="C44" s="872"/>
      <c r="D44" s="872"/>
      <c r="E44" s="872"/>
      <c r="F44" s="14">
        <f>+'Estados Finan + Estrategia'!X16*(1-('Estados Finan + Estrategia'!K97/'Estados Finan + Estrategia'!K96))</f>
        <v>8.9333333333333001E-2</v>
      </c>
      <c r="G44" s="14">
        <f>+'Estados Finan + Estrategia'!Y16*(1-('Estados Finan + Estrategia'!L97/'Estados Finan + Estrategia'!L96))</f>
        <v>0.10682777777777899</v>
      </c>
      <c r="H44" s="14">
        <f>+'Estados Finan + Estrategia'!Z16*(1-('Estados Finan + Estrategia'!M97/'Estados Finan + Estrategia'!M96))</f>
        <v>0.12531481481481932</v>
      </c>
      <c r="I44" s="14">
        <f>+'Estados Finan + Estrategia'!AA16*(1-('Estados Finan + Estrategia'!N97/'Estados Finan + Estrategia'!N96))</f>
        <v>0.14314012345679358</v>
      </c>
      <c r="J44" s="14">
        <f>+'Estados Finan + Estrategia'!AB16*(1-('Estados Finan + Estrategia'!O97/'Estados Finan + Estrategia'!O96))</f>
        <v>0.16140658436214519</v>
      </c>
    </row>
    <row r="45" spans="1:10">
      <c r="F45" s="18"/>
      <c r="G45" s="18"/>
      <c r="H45" s="18"/>
      <c r="I45" s="18"/>
      <c r="J45" s="18"/>
    </row>
    <row r="46" spans="1:10">
      <c r="A46" s="872" t="s">
        <v>74</v>
      </c>
      <c r="B46" s="872"/>
      <c r="C46" s="872"/>
      <c r="D46" s="872"/>
      <c r="E46" s="872"/>
      <c r="F46" s="13">
        <f>F44*F40</f>
        <v>0.48647522239702701</v>
      </c>
      <c r="G46" s="13">
        <f t="shared" ref="G46:J46" si="4">G44*G40</f>
        <v>0</v>
      </c>
      <c r="H46" s="13">
        <f t="shared" si="4"/>
        <v>0</v>
      </c>
      <c r="I46" s="13">
        <f t="shared" si="4"/>
        <v>0</v>
      </c>
      <c r="J46" s="13">
        <f t="shared" si="4"/>
        <v>0</v>
      </c>
    </row>
    <row r="47" spans="1:10">
      <c r="A47" s="872" t="s">
        <v>75</v>
      </c>
      <c r="B47" s="872"/>
      <c r="C47" s="872"/>
      <c r="D47" s="872"/>
      <c r="E47" s="872"/>
      <c r="F47" s="13">
        <f>F37*F41</f>
        <v>-0.39970700945415244</v>
      </c>
      <c r="G47" s="13">
        <f t="shared" ref="G47:J47" si="5">G37*G41</f>
        <v>0.11744014910581803</v>
      </c>
      <c r="H47" s="13">
        <f t="shared" si="5"/>
        <v>0.11744014910581803</v>
      </c>
      <c r="I47" s="13">
        <f t="shared" si="5"/>
        <v>0.11744014910581803</v>
      </c>
      <c r="J47" s="13">
        <f t="shared" si="5"/>
        <v>0.11744014910581803</v>
      </c>
    </row>
    <row r="49" spans="1:17">
      <c r="A49" s="874" t="s">
        <v>76</v>
      </c>
      <c r="B49" s="874"/>
      <c r="C49" s="874"/>
      <c r="D49" s="874"/>
      <c r="E49" s="874"/>
      <c r="F49" s="14">
        <f>F46+F47</f>
        <v>8.6768212942874567E-2</v>
      </c>
      <c r="G49" s="14">
        <f t="shared" ref="G49:J49" si="6">G46+G47</f>
        <v>0.11744014910581803</v>
      </c>
      <c r="H49" s="14">
        <f t="shared" si="6"/>
        <v>0.11744014910581803</v>
      </c>
      <c r="I49" s="14">
        <f t="shared" si="6"/>
        <v>0.11744014910581803</v>
      </c>
      <c r="J49" s="14">
        <f t="shared" si="6"/>
        <v>0.11744014910581803</v>
      </c>
    </row>
    <row r="50" spans="1:17" ht="15" thickBot="1">
      <c r="A50" s="101"/>
      <c r="B50" s="101"/>
      <c r="C50" s="101"/>
      <c r="D50" s="101"/>
      <c r="E50" s="101"/>
      <c r="F50" s="61"/>
      <c r="G50" s="61"/>
      <c r="H50" s="61"/>
      <c r="I50" s="61"/>
      <c r="J50" s="61"/>
    </row>
    <row r="51" spans="1:17" ht="15" customHeight="1">
      <c r="A51" s="796" t="s">
        <v>178</v>
      </c>
      <c r="B51" s="797"/>
      <c r="C51" s="797"/>
      <c r="D51" s="797"/>
      <c r="E51" s="797"/>
      <c r="F51" s="797"/>
      <c r="G51" s="797"/>
      <c r="H51" s="797"/>
      <c r="I51" s="797"/>
      <c r="J51" s="798"/>
      <c r="K51" s="62"/>
      <c r="L51" s="62"/>
      <c r="M51" s="62"/>
      <c r="N51" s="62"/>
      <c r="O51" s="62"/>
      <c r="P51" s="62"/>
      <c r="Q51" s="62"/>
    </row>
    <row r="52" spans="1:17" ht="15.75" customHeight="1" thickBot="1">
      <c r="A52" s="799"/>
      <c r="B52" s="800"/>
      <c r="C52" s="800"/>
      <c r="D52" s="800"/>
      <c r="E52" s="800"/>
      <c r="F52" s="800"/>
      <c r="G52" s="800"/>
      <c r="H52" s="800"/>
      <c r="I52" s="800"/>
      <c r="J52" s="801"/>
      <c r="K52" s="62"/>
      <c r="L52" s="62"/>
      <c r="M52" s="62"/>
      <c r="N52" s="62"/>
      <c r="O52" s="62"/>
      <c r="P52" s="62"/>
      <c r="Q52" s="62"/>
    </row>
    <row r="53" spans="1:17" ht="15" thickBot="1"/>
    <row r="54" spans="1:17">
      <c r="A54" s="63"/>
      <c r="B54" s="875"/>
      <c r="C54" s="876"/>
      <c r="D54" s="876"/>
      <c r="E54" s="877"/>
      <c r="F54" s="69">
        <f>F32</f>
        <v>2020</v>
      </c>
      <c r="G54" s="69">
        <f>G32</f>
        <v>2021</v>
      </c>
      <c r="H54" s="69">
        <f>H32</f>
        <v>2022</v>
      </c>
      <c r="I54" s="69">
        <f>I32</f>
        <v>2023</v>
      </c>
      <c r="J54" s="69">
        <f>J32</f>
        <v>2024</v>
      </c>
      <c r="K54" s="55"/>
    </row>
    <row r="55" spans="1:17">
      <c r="A55" s="64"/>
      <c r="B55" s="878" t="s">
        <v>77</v>
      </c>
      <c r="C55" s="879"/>
      <c r="D55" s="879"/>
      <c r="E55" s="880"/>
      <c r="F55" s="106">
        <f>+'Estados Finan + Estrategia'!K98</f>
        <v>2868750.0372439073</v>
      </c>
      <c r="G55" s="106">
        <f>+'Estados Finan + Estrategia'!L98</f>
        <v>34735779.675346404</v>
      </c>
      <c r="H55" s="106">
        <f>+'Estados Finan + Estrategia'!M98</f>
        <v>34727964.124919511</v>
      </c>
      <c r="I55" s="106">
        <f>+'Estados Finan + Estrategia'!N98</f>
        <v>35769664.136810623</v>
      </c>
      <c r="J55" s="106">
        <f>+'Estados Finan + Estrategia'!O98</f>
        <v>38031469.42434147</v>
      </c>
      <c r="K55" s="55"/>
    </row>
    <row r="56" spans="1:17">
      <c r="A56" s="65"/>
      <c r="B56" s="878" t="s">
        <v>78</v>
      </c>
      <c r="C56" s="879"/>
      <c r="D56" s="879"/>
      <c r="E56" s="880"/>
      <c r="F56" s="107">
        <f>+'Estados Finan + Estrategia'!K97</f>
        <v>1412966.436254462</v>
      </c>
      <c r="G56" s="107">
        <f>+'Estados Finan + Estrategia'!L97</f>
        <v>17108667.601290021</v>
      </c>
      <c r="H56" s="107">
        <f>+'Estados Finan + Estrategia'!M97</f>
        <v>17104818.151079759</v>
      </c>
      <c r="I56" s="107">
        <f>+'Estados Finan + Estrategia'!N97</f>
        <v>17617894.276339561</v>
      </c>
      <c r="J56" s="107">
        <f>+'Estados Finan + Estrategia'!O97</f>
        <v>18731917.776168186</v>
      </c>
      <c r="K56" s="57"/>
    </row>
    <row r="57" spans="1:17" ht="15" thickBot="1">
      <c r="A57" s="65"/>
      <c r="B57" s="878" t="s">
        <v>79</v>
      </c>
      <c r="C57" s="879"/>
      <c r="D57" s="879"/>
      <c r="E57" s="880"/>
      <c r="F57" s="108">
        <f>+'Estados Finan + Estrategia'!K94</f>
        <v>0</v>
      </c>
      <c r="G57" s="108">
        <f>+'Estados Finan + Estrategia'!L94</f>
        <v>0</v>
      </c>
      <c r="H57" s="108">
        <f>+'Estados Finan + Estrategia'!M94</f>
        <v>0</v>
      </c>
      <c r="I57" s="108">
        <f>+'Estados Finan + Estrategia'!N94</f>
        <v>0</v>
      </c>
      <c r="J57" s="108">
        <f>+'Estados Finan + Estrategia'!O94</f>
        <v>0</v>
      </c>
      <c r="K57" s="57"/>
    </row>
    <row r="58" spans="1:17">
      <c r="A58" s="65"/>
      <c r="B58" s="899" t="s">
        <v>80</v>
      </c>
      <c r="C58" s="900"/>
      <c r="D58" s="900"/>
      <c r="E58" s="901"/>
      <c r="F58" s="109">
        <f>F55+F56+F57</f>
        <v>4281716.4734983696</v>
      </c>
      <c r="G58" s="109">
        <f t="shared" ref="G58:J58" si="7">G55+G56+G57</f>
        <v>51844447.276636422</v>
      </c>
      <c r="H58" s="109">
        <f t="shared" si="7"/>
        <v>51832782.27599927</v>
      </c>
      <c r="I58" s="109">
        <f t="shared" si="7"/>
        <v>53387558.413150184</v>
      </c>
      <c r="J58" s="109">
        <f t="shared" si="7"/>
        <v>56763387.200509652</v>
      </c>
      <c r="K58" s="56"/>
    </row>
    <row r="59" spans="1:17">
      <c r="A59" s="65"/>
      <c r="B59" s="59"/>
      <c r="C59" s="53"/>
      <c r="D59" s="53"/>
      <c r="E59" s="53"/>
      <c r="F59" s="53"/>
      <c r="G59" s="53"/>
      <c r="H59" s="53"/>
      <c r="I59" s="53"/>
      <c r="J59" s="53"/>
      <c r="K59" s="53"/>
    </row>
    <row r="60" spans="1:17" ht="23.25" customHeight="1" thickBot="1">
      <c r="A60" s="65"/>
      <c r="B60" s="902" t="s">
        <v>81</v>
      </c>
      <c r="C60" s="903"/>
      <c r="D60" s="903"/>
      <c r="E60" s="904"/>
      <c r="F60" s="108">
        <f>F58*('Estados Finan + Estrategia'!K97/'Estados Finan + Estrategia'!K96)</f>
        <v>1412966.436254462</v>
      </c>
      <c r="G60" s="108">
        <f>G58*('Estados Finan + Estrategia'!L97/'Estados Finan + Estrategia'!L96)</f>
        <v>17108667.601290021</v>
      </c>
      <c r="H60" s="108">
        <f>H58*('Estados Finan + Estrategia'!M97/'Estados Finan + Estrategia'!M96)</f>
        <v>17104818.151079759</v>
      </c>
      <c r="I60" s="108">
        <f>I58*('Estados Finan + Estrategia'!N97/'Estados Finan + Estrategia'!N96)</f>
        <v>17617894.276339561</v>
      </c>
      <c r="J60" s="108">
        <f>J58*('Estados Finan + Estrategia'!O97/'Estados Finan + Estrategia'!O96)</f>
        <v>18731917.776168186</v>
      </c>
      <c r="K60" s="57"/>
    </row>
    <row r="61" spans="1:17">
      <c r="A61" s="65"/>
      <c r="B61" s="887" t="s">
        <v>82</v>
      </c>
      <c r="C61" s="888"/>
      <c r="D61" s="888"/>
      <c r="E61" s="889"/>
      <c r="F61" s="110">
        <f>+F58-F60</f>
        <v>2868750.0372439073</v>
      </c>
      <c r="G61" s="110">
        <f t="shared" ref="G61:J61" si="8">+G58-G60</f>
        <v>34735779.675346404</v>
      </c>
      <c r="H61" s="110">
        <f t="shared" si="8"/>
        <v>34727964.124919511</v>
      </c>
      <c r="I61" s="110">
        <f t="shared" si="8"/>
        <v>35769664.136810623</v>
      </c>
      <c r="J61" s="110">
        <f t="shared" si="8"/>
        <v>38031469.42434147</v>
      </c>
      <c r="K61" s="56"/>
    </row>
    <row r="62" spans="1:17">
      <c r="A62" s="65"/>
      <c r="B62" s="59"/>
      <c r="C62" s="53"/>
      <c r="D62" s="53"/>
      <c r="E62" s="53"/>
      <c r="F62" s="53"/>
      <c r="G62" s="53"/>
      <c r="H62" s="53"/>
      <c r="I62" s="53"/>
      <c r="J62" s="53"/>
      <c r="K62" s="53"/>
    </row>
    <row r="63" spans="1:17">
      <c r="A63" s="65"/>
      <c r="B63" s="890" t="s">
        <v>83</v>
      </c>
      <c r="C63" s="891"/>
      <c r="D63" s="891"/>
      <c r="E63" s="892"/>
      <c r="F63" s="107">
        <f>+'Estados Finan + Estrategia'!K103</f>
        <v>7776724.666666667</v>
      </c>
      <c r="G63" s="107">
        <f>+'Estados Finan + Estrategia'!L103</f>
        <v>7776724.666666667</v>
      </c>
      <c r="H63" s="107">
        <f>+'Estados Finan + Estrategia'!M103</f>
        <v>7776724.666666667</v>
      </c>
      <c r="I63" s="107">
        <f>+'Estados Finan + Estrategia'!N103</f>
        <v>9187669.5999999996</v>
      </c>
      <c r="J63" s="107">
        <f>+'Estados Finan + Estrategia'!O103</f>
        <v>8621403.5199999996</v>
      </c>
      <c r="K63" s="57"/>
    </row>
    <row r="64" spans="1:17">
      <c r="A64" s="65"/>
      <c r="B64" s="878" t="s">
        <v>140</v>
      </c>
      <c r="C64" s="879"/>
      <c r="D64" s="879"/>
      <c r="E64" s="880"/>
      <c r="F64" s="107">
        <f>+'Estados Finan + Estrategia'!K104</f>
        <v>638600</v>
      </c>
      <c r="G64" s="107">
        <f>+'Estados Finan + Estrategia'!L104</f>
        <v>638600</v>
      </c>
      <c r="H64" s="107">
        <f>+'Estados Finan + Estrategia'!M104</f>
        <v>638600</v>
      </c>
      <c r="I64" s="107">
        <f>+'Estados Finan + Estrategia'!N104</f>
        <v>766320</v>
      </c>
      <c r="J64" s="107">
        <f>+'Estados Finan + Estrategia'!O104</f>
        <v>904384</v>
      </c>
      <c r="K64" s="57"/>
    </row>
    <row r="65" spans="1:11">
      <c r="A65" s="65"/>
      <c r="B65" s="878" t="s">
        <v>141</v>
      </c>
      <c r="C65" s="879"/>
      <c r="D65" s="879"/>
      <c r="E65" s="880"/>
      <c r="F65" s="107"/>
      <c r="G65" s="107"/>
      <c r="H65" s="107"/>
      <c r="I65" s="107"/>
      <c r="J65" s="107"/>
      <c r="K65" s="57"/>
    </row>
    <row r="66" spans="1:11">
      <c r="A66" s="66"/>
      <c r="B66" s="887" t="s">
        <v>84</v>
      </c>
      <c r="C66" s="888"/>
      <c r="D66" s="888"/>
      <c r="E66" s="889"/>
      <c r="F66" s="110">
        <f>+F61+F63+F64+F65</f>
        <v>11284074.703910574</v>
      </c>
      <c r="G66" s="110">
        <f t="shared" ref="G66:J66" si="9">+G61+G63+G64+G65</f>
        <v>43151104.342013068</v>
      </c>
      <c r="H66" s="110">
        <f t="shared" si="9"/>
        <v>43143288.791586176</v>
      </c>
      <c r="I66" s="110">
        <f t="shared" si="9"/>
        <v>45723653.736810625</v>
      </c>
      <c r="J66" s="110">
        <f t="shared" si="9"/>
        <v>47557256.944341466</v>
      </c>
      <c r="K66" s="56"/>
    </row>
    <row r="67" spans="1:11">
      <c r="A67" s="65"/>
      <c r="B67" s="59"/>
      <c r="C67" s="53"/>
      <c r="D67" s="53"/>
      <c r="E67" s="53"/>
      <c r="F67" s="53"/>
      <c r="G67" s="53"/>
      <c r="H67" s="53"/>
      <c r="I67" s="53"/>
      <c r="J67" s="53"/>
      <c r="K67" s="53"/>
    </row>
    <row r="68" spans="1:11">
      <c r="A68" s="65"/>
      <c r="B68" s="890" t="s">
        <v>85</v>
      </c>
      <c r="C68" s="891"/>
      <c r="D68" s="891"/>
      <c r="E68" s="892"/>
      <c r="F68" s="107">
        <f>F74-E74</f>
        <v>-23630.011999994516</v>
      </c>
      <c r="G68" s="107">
        <f t="shared" ref="G68:J68" si="10">G74-F74</f>
        <v>-17521.259055644274</v>
      </c>
      <c r="H68" s="107">
        <f t="shared" si="10"/>
        <v>-252.64996400475502</v>
      </c>
      <c r="I68" s="107">
        <f t="shared" si="10"/>
        <v>33674.591825097799</v>
      </c>
      <c r="J68" s="107">
        <f t="shared" si="10"/>
        <v>73116.414491683245</v>
      </c>
      <c r="K68" s="57"/>
    </row>
    <row r="69" spans="1:11" ht="15" thickBot="1">
      <c r="A69" s="65"/>
      <c r="B69" s="878" t="s">
        <v>86</v>
      </c>
      <c r="C69" s="879"/>
      <c r="D69" s="879"/>
      <c r="E69" s="880"/>
      <c r="F69" s="107">
        <f>'Estados Finan + Estrategia'!K49-'Estados Finan + Estrategia'!J49</f>
        <v>114783661.96619999</v>
      </c>
      <c r="G69" s="107">
        <f>'Estados Finan + Estrategia'!L49-'Estados Finan + Estrategia'!K49</f>
        <v>-1927271.0371927172</v>
      </c>
      <c r="H69" s="107">
        <f>'Estados Finan + Estrategia'!M49-'Estados Finan + Estrategia'!L49</f>
        <v>-27790.523309037089</v>
      </c>
      <c r="I69" s="107">
        <f>'Estados Finan + Estrategia'!N49-'Estados Finan + Estrategia'!M49</f>
        <v>3704075.4495853335</v>
      </c>
      <c r="J69" s="107">
        <f>'Estados Finan + Estrategia'!O49-'Estados Finan + Estrategia'!N49</f>
        <v>8042524.0872141868</v>
      </c>
      <c r="K69" s="57"/>
    </row>
    <row r="70" spans="1:11" ht="15" thickBot="1">
      <c r="A70" s="66"/>
      <c r="B70" s="893" t="s">
        <v>87</v>
      </c>
      <c r="C70" s="894"/>
      <c r="D70" s="894"/>
      <c r="E70" s="895"/>
      <c r="F70" s="111">
        <f>F68+F69</f>
        <v>114760031.9542</v>
      </c>
      <c r="G70" s="111">
        <f t="shared" ref="G70:J70" si="11">G68+G69</f>
        <v>-1944792.2962483615</v>
      </c>
      <c r="H70" s="111">
        <f t="shared" si="11"/>
        <v>-28043.173273041844</v>
      </c>
      <c r="I70" s="111">
        <f t="shared" si="11"/>
        <v>3737750.0414104313</v>
      </c>
      <c r="J70" s="111">
        <f t="shared" si="11"/>
        <v>8115640.50170587</v>
      </c>
      <c r="K70" s="56"/>
    </row>
    <row r="71" spans="1:11" ht="13.5" customHeight="1">
      <c r="A71" s="67"/>
      <c r="B71" s="60"/>
      <c r="C71" s="54"/>
      <c r="D71" s="54"/>
      <c r="E71" s="54"/>
      <c r="F71" s="54"/>
      <c r="G71" s="54"/>
      <c r="H71" s="54"/>
      <c r="I71" s="54"/>
      <c r="J71" s="54"/>
      <c r="K71" s="54"/>
    </row>
    <row r="72" spans="1:11" ht="18" thickBot="1">
      <c r="A72" s="68"/>
      <c r="B72" s="896" t="s">
        <v>88</v>
      </c>
      <c r="C72" s="897"/>
      <c r="D72" s="897"/>
      <c r="E72" s="898"/>
      <c r="F72" s="112">
        <f>F66-F70</f>
        <v>-103475957.25028943</v>
      </c>
      <c r="G72" s="112">
        <f t="shared" ref="G72:J72" si="12">G66-G70</f>
        <v>45095896.63826143</v>
      </c>
      <c r="H72" s="112">
        <f t="shared" si="12"/>
        <v>43171331.964859217</v>
      </c>
      <c r="I72" s="112">
        <f t="shared" si="12"/>
        <v>41985903.695400193</v>
      </c>
      <c r="J72" s="112">
        <f t="shared" si="12"/>
        <v>39441616.442635596</v>
      </c>
      <c r="K72" s="58"/>
    </row>
    <row r="73" spans="1:11">
      <c r="A73" s="99" t="s">
        <v>242</v>
      </c>
      <c r="F73" s="274"/>
      <c r="G73" s="274"/>
      <c r="H73" s="274"/>
      <c r="I73" s="274"/>
      <c r="J73" s="274"/>
    </row>
    <row r="74" spans="1:11" ht="15" thickBot="1">
      <c r="A74" s="905" t="s">
        <v>243</v>
      </c>
      <c r="B74" s="906"/>
      <c r="C74" s="906"/>
      <c r="D74" s="907"/>
      <c r="E74" s="153">
        <f>'Estados Finan + Estrategia'!J42+'Estados Finan + Estrategia'!J43-'Estados Finan + Estrategia'!J58</f>
        <v>1164040</v>
      </c>
      <c r="F74" s="153">
        <f>'Estados Finan + Estrategia'!K42+'Estados Finan + Estrategia'!K43-'Estados Finan + Estrategia'!K58</f>
        <v>1140409.9880000055</v>
      </c>
      <c r="G74" s="153">
        <f>'Estados Finan + Estrategia'!L42+'Estados Finan + Estrategia'!L43-'Estados Finan + Estrategia'!L58</f>
        <v>1122888.7289443612</v>
      </c>
      <c r="H74" s="153">
        <f>'Estados Finan + Estrategia'!M42+'Estados Finan + Estrategia'!M43-'Estados Finan + Estrategia'!M58</f>
        <v>1122636.0789803565</v>
      </c>
      <c r="I74" s="153">
        <f>'Estados Finan + Estrategia'!N42+'Estados Finan + Estrategia'!N43-'Estados Finan + Estrategia'!N58</f>
        <v>1156310.6708054543</v>
      </c>
      <c r="J74" s="153">
        <f>'Estados Finan + Estrategia'!O42+'Estados Finan + Estrategia'!O43-'Estados Finan + Estrategia'!O58</f>
        <v>1229427.0852971375</v>
      </c>
    </row>
    <row r="75" spans="1:11">
      <c r="A75" s="796" t="s">
        <v>179</v>
      </c>
      <c r="B75" s="797"/>
      <c r="C75" s="797"/>
      <c r="D75" s="797"/>
      <c r="E75" s="797"/>
      <c r="F75" s="797"/>
      <c r="G75" s="797"/>
      <c r="H75" s="797"/>
      <c r="I75" s="797"/>
      <c r="J75" s="798"/>
    </row>
    <row r="76" spans="1:11" ht="15" thickBot="1">
      <c r="A76" s="799"/>
      <c r="B76" s="800"/>
      <c r="C76" s="800"/>
      <c r="D76" s="800"/>
      <c r="E76" s="800"/>
      <c r="F76" s="800"/>
      <c r="G76" s="800"/>
      <c r="H76" s="800"/>
      <c r="I76" s="800"/>
      <c r="J76" s="801"/>
    </row>
    <row r="79" spans="1:11">
      <c r="J79" s="69">
        <f>J54</f>
        <v>2024</v>
      </c>
    </row>
    <row r="80" spans="1:11">
      <c r="E80" s="113" t="s">
        <v>96</v>
      </c>
      <c r="F80" s="912" t="s">
        <v>93</v>
      </c>
      <c r="G80" s="913"/>
      <c r="H80" s="913"/>
      <c r="I80" s="913"/>
      <c r="J80" s="258">
        <f>J72</f>
        <v>39441616.442635596</v>
      </c>
    </row>
    <row r="81" spans="1:12">
      <c r="E81" s="113" t="s">
        <v>102</v>
      </c>
      <c r="F81" s="912" t="s">
        <v>94</v>
      </c>
      <c r="G81" s="913"/>
      <c r="H81" s="913"/>
      <c r="I81" s="913"/>
      <c r="J81" s="259">
        <f>J49</f>
        <v>0.11744014910581803</v>
      </c>
    </row>
    <row r="82" spans="1:12">
      <c r="E82" s="114" t="s">
        <v>95</v>
      </c>
      <c r="F82" s="115" t="s">
        <v>103</v>
      </c>
      <c r="G82" s="116"/>
      <c r="H82" s="117">
        <f>'Valoración Sin Estrategia'!H82</f>
        <v>-1.4199999999999999E-2</v>
      </c>
      <c r="I82" s="265">
        <f>'Valoración Sin Estrategia'!I82</f>
        <v>1.6599999999999997E-2</v>
      </c>
      <c r="J82" s="260">
        <f>(1+H82)*(1+I82)-1</f>
        <v>2.1642799999999074E-3</v>
      </c>
    </row>
    <row r="83" spans="1:12" ht="15" thickBot="1"/>
    <row r="84" spans="1:12" ht="18" thickBot="1">
      <c r="E84" s="78" t="s">
        <v>104</v>
      </c>
      <c r="F84" s="910" t="s">
        <v>97</v>
      </c>
      <c r="G84" s="911"/>
      <c r="H84" s="911"/>
      <c r="I84" s="911"/>
      <c r="J84" s="70"/>
    </row>
    <row r="85" spans="1:12">
      <c r="F85" s="914" t="s">
        <v>98</v>
      </c>
      <c r="G85" s="914"/>
      <c r="H85" s="914"/>
      <c r="I85" s="914"/>
      <c r="J85" s="261">
        <f>J72</f>
        <v>39441616.442635596</v>
      </c>
      <c r="K85" s="645" t="s">
        <v>107</v>
      </c>
      <c r="L85" s="646"/>
    </row>
    <row r="86" spans="1:12">
      <c r="F86" s="671" t="s">
        <v>101</v>
      </c>
      <c r="G86" s="672"/>
      <c r="H86" s="672"/>
      <c r="I86" s="673"/>
      <c r="J86" s="262">
        <f>J49</f>
        <v>0.11744014910581803</v>
      </c>
      <c r="K86" s="647"/>
      <c r="L86" s="648"/>
    </row>
    <row r="87" spans="1:12" ht="15" thickBot="1">
      <c r="F87" s="669" t="s">
        <v>99</v>
      </c>
      <c r="G87" s="669"/>
      <c r="H87" s="669"/>
      <c r="I87" s="669"/>
      <c r="J87" s="263">
        <f>+J85/J86</f>
        <v>335844400.25784713</v>
      </c>
      <c r="K87" s="649"/>
      <c r="L87" s="650"/>
    </row>
    <row r="88" spans="1:12" ht="15" thickBot="1"/>
    <row r="89" spans="1:12" ht="18" thickBot="1">
      <c r="E89" s="79" t="s">
        <v>105</v>
      </c>
      <c r="F89" s="910" t="s">
        <v>100</v>
      </c>
      <c r="G89" s="911"/>
      <c r="H89" s="911"/>
      <c r="I89" s="911"/>
      <c r="J89" s="70"/>
    </row>
    <row r="90" spans="1:12" ht="15" customHeight="1">
      <c r="E90" s="70"/>
      <c r="F90" s="671" t="s">
        <v>98</v>
      </c>
      <c r="G90" s="672"/>
      <c r="H90" s="672"/>
      <c r="I90" s="673"/>
      <c r="J90" s="261">
        <f>+J72</f>
        <v>39441616.442635596</v>
      </c>
      <c r="K90" s="659" t="s">
        <v>108</v>
      </c>
      <c r="L90" s="660"/>
    </row>
    <row r="91" spans="1:12" ht="15" customHeight="1">
      <c r="E91" s="70"/>
      <c r="F91" s="671" t="s">
        <v>101</v>
      </c>
      <c r="G91" s="672"/>
      <c r="H91" s="672"/>
      <c r="I91" s="673"/>
      <c r="J91" s="264">
        <f>+J81</f>
        <v>0.11744014910581803</v>
      </c>
      <c r="K91" s="661"/>
      <c r="L91" s="662"/>
    </row>
    <row r="92" spans="1:12" ht="15.75" customHeight="1">
      <c r="E92" s="70"/>
      <c r="F92" s="671" t="s">
        <v>106</v>
      </c>
      <c r="G92" s="672"/>
      <c r="H92" s="672"/>
      <c r="I92" s="673"/>
      <c r="J92" s="264">
        <f>+J82</f>
        <v>2.1642799999999074E-3</v>
      </c>
      <c r="K92" s="661"/>
      <c r="L92" s="662"/>
    </row>
    <row r="93" spans="1:12" ht="15" thickBot="1">
      <c r="F93" s="669" t="s">
        <v>188</v>
      </c>
      <c r="G93" s="669"/>
      <c r="H93" s="669"/>
      <c r="I93" s="669"/>
      <c r="J93" s="263">
        <f>+J90*(1+J92)/(J91-J92)</f>
        <v>342890315.64781398</v>
      </c>
      <c r="K93" s="663"/>
      <c r="L93" s="664"/>
    </row>
    <row r="95" spans="1:12" ht="15" thickBot="1"/>
    <row r="96" spans="1:12">
      <c r="A96" s="909" t="s">
        <v>116</v>
      </c>
      <c r="B96" s="909"/>
      <c r="C96" s="909"/>
      <c r="D96" s="909"/>
      <c r="E96" s="909"/>
      <c r="F96" s="69">
        <f>F54</f>
        <v>2020</v>
      </c>
      <c r="G96" s="69">
        <f>G54</f>
        <v>2021</v>
      </c>
      <c r="H96" s="69">
        <f>H54</f>
        <v>2022</v>
      </c>
      <c r="I96" s="69">
        <f>I54</f>
        <v>2023</v>
      </c>
      <c r="J96" s="98">
        <f>J54</f>
        <v>2024</v>
      </c>
      <c r="K96" s="920" t="s">
        <v>155</v>
      </c>
    </row>
    <row r="97" spans="1:11">
      <c r="A97" s="918" t="s">
        <v>109</v>
      </c>
      <c r="B97" s="918"/>
      <c r="C97" s="918"/>
      <c r="D97" s="918"/>
      <c r="E97" s="918"/>
      <c r="F97" s="20">
        <f>+F49</f>
        <v>8.6768212942874567E-2</v>
      </c>
      <c r="G97" s="20">
        <f t="shared" ref="G97:J97" si="13">+G49</f>
        <v>0.11744014910581803</v>
      </c>
      <c r="H97" s="20">
        <f t="shared" si="13"/>
        <v>0.11744014910581803</v>
      </c>
      <c r="I97" s="20">
        <f t="shared" si="13"/>
        <v>0.11744014910581803</v>
      </c>
      <c r="J97" s="20">
        <f t="shared" si="13"/>
        <v>0.11744014910581803</v>
      </c>
      <c r="K97" s="921"/>
    </row>
    <row r="98" spans="1:11">
      <c r="A98" s="915" t="s">
        <v>110</v>
      </c>
      <c r="B98" s="915"/>
      <c r="C98" s="915"/>
      <c r="D98" s="915"/>
      <c r="E98" s="915"/>
      <c r="F98" s="244">
        <f>F97</f>
        <v>8.6768212942874567E-2</v>
      </c>
      <c r="G98" s="244">
        <f>(1+F98)*(1+G97)-1</f>
        <v>0.21439843391434943</v>
      </c>
      <c r="H98" s="244">
        <f t="shared" ref="H98:J98" si="14">(1+G98)*(1+H97)-1</f>
        <v>0.35701756706712273</v>
      </c>
      <c r="I98" s="244">
        <f t="shared" si="14"/>
        <v>0.51638591248270016</v>
      </c>
      <c r="J98" s="244">
        <f t="shared" si="14"/>
        <v>0.69447050014663048</v>
      </c>
      <c r="K98" s="921"/>
    </row>
    <row r="99" spans="1:11">
      <c r="A99" s="236"/>
      <c r="B99" s="239"/>
      <c r="C99" s="239"/>
      <c r="D99" s="239"/>
      <c r="E99" s="239"/>
      <c r="F99" s="239"/>
      <c r="G99" s="239"/>
      <c r="H99" s="239"/>
      <c r="I99" s="239"/>
      <c r="J99" s="240"/>
      <c r="K99" s="922"/>
    </row>
    <row r="100" spans="1:11">
      <c r="A100" s="917" t="s">
        <v>111</v>
      </c>
      <c r="B100" s="917"/>
      <c r="C100" s="917"/>
      <c r="D100" s="917"/>
      <c r="E100" s="917"/>
      <c r="F100" s="245">
        <f>F72</f>
        <v>-103475957.25028943</v>
      </c>
      <c r="G100" s="245">
        <f t="shared" ref="G100:J100" si="15">G72</f>
        <v>45095896.63826143</v>
      </c>
      <c r="H100" s="245">
        <f t="shared" si="15"/>
        <v>43171331.964859217</v>
      </c>
      <c r="I100" s="245">
        <f t="shared" si="15"/>
        <v>41985903.695400193</v>
      </c>
      <c r="J100" s="245">
        <f t="shared" si="15"/>
        <v>39441616.442635596</v>
      </c>
      <c r="K100" s="921"/>
    </row>
    <row r="101" spans="1:11">
      <c r="A101" s="915" t="s">
        <v>112</v>
      </c>
      <c r="B101" s="915"/>
      <c r="C101" s="915"/>
      <c r="D101" s="915"/>
      <c r="E101" s="915"/>
      <c r="F101" s="241"/>
      <c r="G101" s="242"/>
      <c r="H101" s="242"/>
      <c r="I101" s="243"/>
      <c r="J101" s="237">
        <v>0</v>
      </c>
      <c r="K101" s="921"/>
    </row>
    <row r="102" spans="1:11">
      <c r="A102" s="236"/>
      <c r="B102" s="239"/>
      <c r="C102" s="239"/>
      <c r="D102" s="239"/>
      <c r="E102" s="239"/>
      <c r="F102" s="239"/>
      <c r="G102" s="239"/>
      <c r="H102" s="239"/>
      <c r="I102" s="239"/>
      <c r="J102" s="240"/>
      <c r="K102" s="922"/>
    </row>
    <row r="103" spans="1:11">
      <c r="A103" s="917" t="s">
        <v>113</v>
      </c>
      <c r="B103" s="917"/>
      <c r="C103" s="917"/>
      <c r="D103" s="917"/>
      <c r="E103" s="917"/>
      <c r="F103" s="238">
        <f>F100/(1+F98)</f>
        <v>-95214375.99843435</v>
      </c>
      <c r="G103" s="238">
        <f t="shared" ref="G103:J103" si="16">G100/(1+G98)</f>
        <v>37134350.126675151</v>
      </c>
      <c r="H103" s="238">
        <f t="shared" si="16"/>
        <v>31813392.112648912</v>
      </c>
      <c r="I103" s="238">
        <f t="shared" si="16"/>
        <v>27688138.850260649</v>
      </c>
      <c r="J103" s="238">
        <f t="shared" si="16"/>
        <v>23276661.611531466</v>
      </c>
      <c r="K103" s="921"/>
    </row>
    <row r="104" spans="1:11">
      <c r="A104" s="915" t="s">
        <v>112</v>
      </c>
      <c r="B104" s="915"/>
      <c r="C104" s="915"/>
      <c r="D104" s="915"/>
      <c r="E104" s="916"/>
      <c r="F104" s="241"/>
      <c r="G104" s="242"/>
      <c r="H104" s="242"/>
      <c r="I104" s="243"/>
      <c r="J104" s="234">
        <f>J101/(1+J98)</f>
        <v>0</v>
      </c>
      <c r="K104" s="921"/>
    </row>
    <row r="105" spans="1:11">
      <c r="A105" s="231"/>
      <c r="B105" s="232"/>
      <c r="C105" s="232"/>
      <c r="D105" s="232"/>
      <c r="E105" s="232"/>
      <c r="F105" s="232"/>
      <c r="G105" s="232"/>
      <c r="H105" s="232"/>
      <c r="I105" s="232"/>
      <c r="J105" s="233"/>
      <c r="K105" s="922"/>
    </row>
    <row r="106" spans="1:11">
      <c r="A106" s="917" t="s">
        <v>189</v>
      </c>
      <c r="B106" s="917"/>
      <c r="C106" s="917"/>
      <c r="D106" s="917"/>
      <c r="E106" s="917"/>
      <c r="F106" s="91">
        <f>SUM(F103:J103)</f>
        <v>24698166.702681828</v>
      </c>
      <c r="G106" s="118"/>
      <c r="H106" s="118"/>
      <c r="I106" s="118"/>
      <c r="J106" s="118"/>
      <c r="K106" s="921"/>
    </row>
    <row r="107" spans="1:11">
      <c r="A107" s="918" t="s">
        <v>114</v>
      </c>
      <c r="B107" s="918"/>
      <c r="C107" s="918"/>
      <c r="D107" s="918"/>
      <c r="E107" s="918"/>
      <c r="F107" s="90">
        <f>J104</f>
        <v>0</v>
      </c>
      <c r="K107" s="921"/>
    </row>
    <row r="108" spans="1:11">
      <c r="A108" s="919" t="s">
        <v>115</v>
      </c>
      <c r="B108" s="919"/>
      <c r="C108" s="919"/>
      <c r="D108" s="919"/>
      <c r="E108" s="919"/>
      <c r="F108" s="254">
        <f>SUM(F106:F107)</f>
        <v>24698166.702681828</v>
      </c>
      <c r="K108" s="921"/>
    </row>
    <row r="109" spans="1:11">
      <c r="K109" s="921"/>
    </row>
    <row r="110" spans="1:11">
      <c r="A110" s="925" t="s">
        <v>117</v>
      </c>
      <c r="B110" s="926"/>
      <c r="C110" s="926"/>
      <c r="D110" s="926"/>
      <c r="E110" s="927"/>
      <c r="F110" s="87">
        <f>F108</f>
        <v>24698166.702681828</v>
      </c>
      <c r="K110" s="921"/>
    </row>
    <row r="111" spans="1:11">
      <c r="A111" s="928" t="s">
        <v>118</v>
      </c>
      <c r="B111" s="929"/>
      <c r="C111" s="929"/>
      <c r="D111" s="929"/>
      <c r="E111" s="930"/>
      <c r="F111" s="86">
        <f>'Estados Finan + Estrategia'!J62-'Estados Finan + Estrategia'!J57</f>
        <v>252150499</v>
      </c>
      <c r="K111" s="921"/>
    </row>
    <row r="112" spans="1:11">
      <c r="A112" s="908" t="s">
        <v>119</v>
      </c>
      <c r="B112" s="908"/>
      <c r="C112" s="908"/>
      <c r="D112" s="908"/>
      <c r="E112" s="908"/>
      <c r="F112" s="86">
        <f>'Estados Finan + Estrategia'!J40+'Estados Finan + Estrategia'!J42+'Estados Finan + Estrategia'!J43+'Estados Finan + Estrategia'!J41</f>
        <v>223257202</v>
      </c>
      <c r="K112" s="921"/>
    </row>
    <row r="113" spans="1:11">
      <c r="A113" s="908" t="s">
        <v>143</v>
      </c>
      <c r="B113" s="908"/>
      <c r="C113" s="908"/>
      <c r="D113" s="908"/>
      <c r="E113" s="908"/>
      <c r="F113" s="86">
        <f>'Estados Finan + Estrategia'!J57+'Estados Finan + Estrategia'!J64</f>
        <v>135000000</v>
      </c>
      <c r="K113" s="921"/>
    </row>
    <row r="114" spans="1:11">
      <c r="A114" s="931" t="s">
        <v>120</v>
      </c>
      <c r="B114" s="931"/>
      <c r="C114" s="931"/>
      <c r="D114" s="931"/>
      <c r="E114" s="931"/>
      <c r="F114" s="255">
        <f>F110-F111+F112-F113</f>
        <v>-139195130.29731816</v>
      </c>
      <c r="G114" s="89"/>
      <c r="K114" s="921"/>
    </row>
    <row r="115" spans="1:11">
      <c r="F115" s="88"/>
      <c r="K115" s="921"/>
    </row>
    <row r="116" spans="1:11">
      <c r="A116" s="918" t="s">
        <v>121</v>
      </c>
      <c r="B116" s="918"/>
      <c r="C116" s="918"/>
      <c r="D116" s="918"/>
      <c r="E116" s="918"/>
      <c r="F116" s="86">
        <f>'Estados Finan + Estrategia'!J76</f>
        <v>-110209426</v>
      </c>
      <c r="K116" s="921"/>
    </row>
    <row r="117" spans="1:11">
      <c r="A117" s="40"/>
      <c r="B117" s="40"/>
      <c r="C117" s="40"/>
      <c r="D117" s="40"/>
      <c r="E117" s="40"/>
      <c r="F117" s="40"/>
      <c r="K117" s="921"/>
    </row>
    <row r="118" spans="1:11">
      <c r="A118" s="918" t="s">
        <v>124</v>
      </c>
      <c r="B118" s="918"/>
      <c r="C118" s="918"/>
      <c r="D118" s="918"/>
      <c r="E118" s="918"/>
      <c r="F118" s="7">
        <f>'Valoración Sin Estrategia'!F118</f>
        <v>1000000</v>
      </c>
      <c r="G118" s="257" t="s">
        <v>126</v>
      </c>
      <c r="K118" s="921"/>
    </row>
    <row r="119" spans="1:11">
      <c r="A119" s="918" t="s">
        <v>123</v>
      </c>
      <c r="B119" s="918"/>
      <c r="C119" s="918"/>
      <c r="D119" s="918"/>
      <c r="E119" s="918"/>
      <c r="F119" s="92">
        <f>F116/F118</f>
        <v>-110.20942599999999</v>
      </c>
      <c r="K119" s="921"/>
    </row>
    <row r="120" spans="1:11">
      <c r="A120" s="918" t="s">
        <v>125</v>
      </c>
      <c r="B120" s="918"/>
      <c r="C120" s="918"/>
      <c r="D120" s="918"/>
      <c r="E120" s="918"/>
      <c r="F120" s="92">
        <f>F114/F118</f>
        <v>-139.19513029731817</v>
      </c>
      <c r="K120" s="921"/>
    </row>
    <row r="121" spans="1:11" ht="16.2" thickBot="1">
      <c r="A121" s="924" t="s">
        <v>122</v>
      </c>
      <c r="B121" s="924"/>
      <c r="C121" s="924"/>
      <c r="D121" s="924"/>
      <c r="E121" s="924"/>
      <c r="F121" s="256">
        <f>-(F120/F119)</f>
        <v>-1.2630056733742374</v>
      </c>
      <c r="K121" s="923"/>
    </row>
    <row r="124" spans="1:11" ht="15" thickBot="1"/>
    <row r="125" spans="1:11">
      <c r="A125" s="796" t="s">
        <v>180</v>
      </c>
      <c r="B125" s="797"/>
      <c r="C125" s="797"/>
      <c r="D125" s="797"/>
      <c r="E125" s="797"/>
      <c r="F125" s="797"/>
      <c r="G125" s="797"/>
      <c r="H125" s="797"/>
      <c r="I125" s="797"/>
      <c r="J125" s="798"/>
    </row>
    <row r="126" spans="1:11" ht="15" thickBot="1">
      <c r="A126" s="799"/>
      <c r="B126" s="800"/>
      <c r="C126" s="800"/>
      <c r="D126" s="800"/>
      <c r="E126" s="800"/>
      <c r="F126" s="800"/>
      <c r="G126" s="800"/>
      <c r="H126" s="800"/>
      <c r="I126" s="800"/>
      <c r="J126" s="801"/>
    </row>
    <row r="127" spans="1:11" ht="15" thickBot="1"/>
    <row r="128" spans="1:11" ht="15" customHeight="1">
      <c r="A128" s="909" t="s">
        <v>129</v>
      </c>
      <c r="B128" s="909"/>
      <c r="C128" s="909"/>
      <c r="D128" s="909"/>
      <c r="E128" s="909"/>
      <c r="F128" s="69">
        <f>F96</f>
        <v>2020</v>
      </c>
      <c r="G128" s="69">
        <f>G96</f>
        <v>2021</v>
      </c>
      <c r="H128" s="69">
        <f>H96</f>
        <v>2022</v>
      </c>
      <c r="I128" s="69">
        <f>I96</f>
        <v>2023</v>
      </c>
      <c r="J128" s="98">
        <f>J96</f>
        <v>2024</v>
      </c>
      <c r="K128" s="932" t="s">
        <v>127</v>
      </c>
    </row>
    <row r="129" spans="1:11">
      <c r="A129" s="908" t="s">
        <v>130</v>
      </c>
      <c r="B129" s="908"/>
      <c r="C129" s="908"/>
      <c r="D129" s="908"/>
      <c r="E129" s="908"/>
      <c r="F129" s="10">
        <f>+'Estados Finan + Estrategia'!K54</f>
        <v>386319169.21810001</v>
      </c>
      <c r="G129" s="10">
        <f>+'Estados Finan + Estrategia'!L54</f>
        <v>380383761.50223309</v>
      </c>
      <c r="H129" s="10">
        <f>+'Estados Finan + Estrategia'!M54</f>
        <v>380298175.15589499</v>
      </c>
      <c r="I129" s="10">
        <f>+'Estados Finan + Estrategia'!N54</f>
        <v>391705599.21787131</v>
      </c>
      <c r="J129" s="10">
        <f>+'Estados Finan + Estrategia'!O54</f>
        <v>416474123.52041531</v>
      </c>
      <c r="K129" s="933"/>
    </row>
    <row r="130" spans="1:11">
      <c r="A130" s="908" t="s">
        <v>131</v>
      </c>
      <c r="B130" s="908"/>
      <c r="C130" s="908"/>
      <c r="D130" s="908"/>
      <c r="E130" s="908"/>
      <c r="F130" s="7">
        <f>+'Estados Finan + Estrategia'!K69</f>
        <v>247031843.87029999</v>
      </c>
      <c r="G130" s="7">
        <f>+'Estados Finan + Estrategia'!L69</f>
        <v>243236446.62107667</v>
      </c>
      <c r="H130" s="7">
        <f>+'Estados Finan + Estrategia'!M69</f>
        <v>243181718.42058688</v>
      </c>
      <c r="I130" s="7">
        <f>+'Estados Finan + Estrategia'!N69</f>
        <v>250476197.24633083</v>
      </c>
      <c r="J130" s="7">
        <f>+'Estados Finan + Estrategia'!O69</f>
        <v>266314433.3887094</v>
      </c>
      <c r="K130" s="933"/>
    </row>
    <row r="131" spans="1:11">
      <c r="A131" s="908" t="s">
        <v>136</v>
      </c>
      <c r="B131" s="908"/>
      <c r="C131" s="908"/>
      <c r="D131" s="908"/>
      <c r="E131" s="908"/>
      <c r="F131" s="9">
        <f>+F129-F130</f>
        <v>139287325.34780002</v>
      </c>
      <c r="G131" s="9">
        <f t="shared" ref="G131:J131" si="17">+G129-G130</f>
        <v>137147314.88115641</v>
      </c>
      <c r="H131" s="9">
        <f t="shared" si="17"/>
        <v>137116456.73530811</v>
      </c>
      <c r="I131" s="9">
        <f t="shared" si="17"/>
        <v>141229401.97154048</v>
      </c>
      <c r="J131" s="9">
        <f t="shared" si="17"/>
        <v>150159690.13170591</v>
      </c>
      <c r="K131" s="933"/>
    </row>
    <row r="132" spans="1:11">
      <c r="A132" s="908" t="s">
        <v>132</v>
      </c>
      <c r="B132" s="908"/>
      <c r="C132" s="908"/>
      <c r="D132" s="908"/>
      <c r="E132" s="908"/>
      <c r="F132" s="17">
        <f>+F131/$F$118</f>
        <v>139.28732534780002</v>
      </c>
      <c r="G132" s="17">
        <f t="shared" ref="G132:J132" si="18">+G131/$F$118</f>
        <v>137.1473148811564</v>
      </c>
      <c r="H132" s="17">
        <f t="shared" si="18"/>
        <v>137.11645673530811</v>
      </c>
      <c r="I132" s="17">
        <f t="shared" si="18"/>
        <v>141.22940197154048</v>
      </c>
      <c r="J132" s="17">
        <f t="shared" si="18"/>
        <v>150.1596901317059</v>
      </c>
      <c r="K132" s="933"/>
    </row>
    <row r="133" spans="1:11" ht="15.6">
      <c r="A133" s="847" t="s">
        <v>122</v>
      </c>
      <c r="B133" s="848"/>
      <c r="C133" s="848"/>
      <c r="D133" s="848"/>
      <c r="E133" s="849"/>
      <c r="F133" s="256">
        <f>-(F132/$F$119)</f>
        <v>1.2638422175232091</v>
      </c>
      <c r="G133" s="256">
        <f t="shared" ref="G133:J133" si="19">-(G132/$F$119)</f>
        <v>1.2444245456931824</v>
      </c>
      <c r="H133" s="256">
        <f t="shared" si="19"/>
        <v>1.2441445501704012</v>
      </c>
      <c r="I133" s="256">
        <f t="shared" si="19"/>
        <v>1.2814639100973131</v>
      </c>
      <c r="J133" s="256">
        <f t="shared" si="19"/>
        <v>1.3624940767925413</v>
      </c>
      <c r="K133" s="933"/>
    </row>
    <row r="134" spans="1:11" ht="9" customHeight="1">
      <c r="K134" s="933"/>
    </row>
    <row r="135" spans="1:11" ht="9" customHeight="1">
      <c r="K135" s="933"/>
    </row>
    <row r="136" spans="1:11" ht="7.5" customHeight="1">
      <c r="K136" s="933"/>
    </row>
    <row r="137" spans="1:11" ht="10.5" customHeight="1">
      <c r="K137" s="933"/>
    </row>
    <row r="138" spans="1:11">
      <c r="A138" s="909" t="s">
        <v>134</v>
      </c>
      <c r="B138" s="909"/>
      <c r="C138" s="909"/>
      <c r="D138" s="909"/>
      <c r="E138" s="909"/>
      <c r="F138" s="69">
        <f>F128</f>
        <v>2020</v>
      </c>
      <c r="G138" s="69">
        <f>G128</f>
        <v>2021</v>
      </c>
      <c r="H138" s="69">
        <f>H128</f>
        <v>2022</v>
      </c>
      <c r="I138" s="69">
        <f>I128</f>
        <v>2023</v>
      </c>
      <c r="J138" s="98">
        <f>J128</f>
        <v>2024</v>
      </c>
      <c r="K138" s="933"/>
    </row>
    <row r="139" spans="1:11">
      <c r="A139" s="908" t="s">
        <v>135</v>
      </c>
      <c r="B139" s="908"/>
      <c r="C139" s="908"/>
      <c r="D139" s="908"/>
      <c r="E139" s="908"/>
      <c r="F139" s="10">
        <f>+F129</f>
        <v>386319169.21810001</v>
      </c>
      <c r="G139" s="10">
        <f t="shared" ref="G139:J139" si="20">+G129</f>
        <v>380383761.50223309</v>
      </c>
      <c r="H139" s="10">
        <f t="shared" si="20"/>
        <v>380298175.15589499</v>
      </c>
      <c r="I139" s="10">
        <f t="shared" si="20"/>
        <v>391705599.21787131</v>
      </c>
      <c r="J139" s="10">
        <f t="shared" si="20"/>
        <v>416474123.52041531</v>
      </c>
      <c r="K139" s="933"/>
    </row>
    <row r="140" spans="1:11">
      <c r="A140" s="908" t="s">
        <v>137</v>
      </c>
      <c r="B140" s="908"/>
      <c r="C140" s="908"/>
      <c r="D140" s="908"/>
      <c r="E140" s="908"/>
      <c r="F140" s="7">
        <f>+'Estados Finan + Estrategia'!K57+'Estados Finan + Estrategia'!K64+'Estados Finan + Estrategia'!K58</f>
        <v>179420194.7518</v>
      </c>
      <c r="G140" s="7">
        <f>+'Estados Finan + Estrategia'!L57+'Estados Finan + Estrategia'!L64+'Estados Finan + Estrategia'!L58</f>
        <v>176663582.87963331</v>
      </c>
      <c r="H140" s="7">
        <f>+'Estados Finan + Estrategia'!M57+'Estados Finan + Estrategia'!M64+'Estados Finan + Estrategia'!M58</f>
        <v>176623833.57348537</v>
      </c>
      <c r="I140" s="7">
        <f>+'Estados Finan + Estrategia'!N57+'Estados Finan + Estrategia'!N64+'Estados Finan + Estrategia'!N58</f>
        <v>181921842.08535567</v>
      </c>
      <c r="J140" s="7">
        <f>+'Estados Finan + Estrategia'!O57+'Estados Finan + Estrategia'!O64+'Estados Finan + Estrategia'!O58</f>
        <v>193425214.96501788</v>
      </c>
      <c r="K140" s="933"/>
    </row>
    <row r="141" spans="1:11">
      <c r="A141" s="908" t="s">
        <v>138</v>
      </c>
      <c r="B141" s="908"/>
      <c r="C141" s="908"/>
      <c r="D141" s="908"/>
      <c r="E141" s="908"/>
      <c r="F141" s="8">
        <f>+F139-F140</f>
        <v>206898974.46630001</v>
      </c>
      <c r="G141" s="8">
        <f t="shared" ref="G141:J141" si="21">+G139-G140</f>
        <v>203720178.62259978</v>
      </c>
      <c r="H141" s="8">
        <f t="shared" si="21"/>
        <v>203674341.58240962</v>
      </c>
      <c r="I141" s="8">
        <f t="shared" si="21"/>
        <v>209783757.13251564</v>
      </c>
      <c r="J141" s="8">
        <f t="shared" si="21"/>
        <v>223048908.55539742</v>
      </c>
      <c r="K141" s="933"/>
    </row>
    <row r="142" spans="1:11">
      <c r="A142" s="908" t="s">
        <v>133</v>
      </c>
      <c r="B142" s="908"/>
      <c r="C142" s="908"/>
      <c r="D142" s="908"/>
      <c r="E142" s="908"/>
      <c r="F142" s="17">
        <f>+F141/$F$118</f>
        <v>206.89897446630002</v>
      </c>
      <c r="G142" s="17">
        <f t="shared" ref="G142:J142" si="22">+G141/$F$118</f>
        <v>203.72017862259978</v>
      </c>
      <c r="H142" s="17">
        <f t="shared" si="22"/>
        <v>203.67434158240962</v>
      </c>
      <c r="I142" s="17">
        <f t="shared" si="22"/>
        <v>209.78375713251563</v>
      </c>
      <c r="J142" s="17">
        <f t="shared" si="22"/>
        <v>223.04890855539742</v>
      </c>
      <c r="K142" s="933"/>
    </row>
    <row r="143" spans="1:11" ht="16.2" thickBot="1">
      <c r="A143" s="847" t="s">
        <v>122</v>
      </c>
      <c r="B143" s="848"/>
      <c r="C143" s="848"/>
      <c r="D143" s="848"/>
      <c r="E143" s="849"/>
      <c r="F143" s="256">
        <f>-(F142/$F$119)</f>
        <v>1.877325578905565</v>
      </c>
      <c r="G143" s="256">
        <f t="shared" ref="G143:J143" si="23">-(G142/$F$119)</f>
        <v>1.8484823487112598</v>
      </c>
      <c r="H143" s="256">
        <f t="shared" si="23"/>
        <v>1.8480664401827993</v>
      </c>
      <c r="I143" s="256">
        <f t="shared" si="23"/>
        <v>1.9035010411225228</v>
      </c>
      <c r="J143" s="256">
        <f t="shared" si="23"/>
        <v>2.0238641707053029</v>
      </c>
      <c r="K143" s="934"/>
    </row>
    <row r="144" spans="1:11" ht="9" customHeight="1"/>
    <row r="145" spans="1:11" ht="9" customHeight="1"/>
    <row r="146" spans="1:11" ht="9.75" customHeight="1"/>
    <row r="147" spans="1:11" ht="9.75" customHeight="1"/>
    <row r="149" spans="1:11" ht="15" thickBot="1"/>
    <row r="150" spans="1:11">
      <c r="A150" s="796" t="s">
        <v>181</v>
      </c>
      <c r="B150" s="797"/>
      <c r="C150" s="797"/>
      <c r="D150" s="797"/>
      <c r="E150" s="797"/>
      <c r="F150" s="797"/>
      <c r="G150" s="797"/>
      <c r="H150" s="797"/>
      <c r="I150" s="797"/>
      <c r="J150" s="798"/>
    </row>
    <row r="151" spans="1:11" ht="15" thickBot="1">
      <c r="A151" s="799"/>
      <c r="B151" s="800"/>
      <c r="C151" s="800"/>
      <c r="D151" s="800"/>
      <c r="E151" s="800"/>
      <c r="F151" s="800"/>
      <c r="G151" s="800"/>
      <c r="H151" s="800"/>
      <c r="I151" s="800"/>
      <c r="J151" s="801"/>
    </row>
    <row r="152" spans="1:11" ht="15" thickBot="1"/>
    <row r="153" spans="1:11">
      <c r="A153" s="909" t="s">
        <v>116</v>
      </c>
      <c r="B153" s="909"/>
      <c r="C153" s="909"/>
      <c r="D153" s="909"/>
      <c r="E153" s="909"/>
      <c r="F153" s="69">
        <f>F138</f>
        <v>2020</v>
      </c>
      <c r="G153" s="69">
        <f>G138</f>
        <v>2021</v>
      </c>
      <c r="H153" s="69">
        <f>H138</f>
        <v>2022</v>
      </c>
      <c r="I153" s="69">
        <f>I138</f>
        <v>2023</v>
      </c>
      <c r="J153" s="98">
        <f>J138</f>
        <v>2024</v>
      </c>
      <c r="K153" s="965" t="s">
        <v>154</v>
      </c>
    </row>
    <row r="154" spans="1:11">
      <c r="A154" s="935" t="s">
        <v>80</v>
      </c>
      <c r="B154" s="935"/>
      <c r="C154" s="935"/>
      <c r="D154" s="935"/>
      <c r="E154" s="935"/>
      <c r="F154" s="202">
        <f>+F58</f>
        <v>4281716.4734983696</v>
      </c>
      <c r="G154" s="202">
        <f t="shared" ref="G154:J154" si="24">+G58</f>
        <v>51844447.276636422</v>
      </c>
      <c r="H154" s="202">
        <f t="shared" si="24"/>
        <v>51832782.27599927</v>
      </c>
      <c r="I154" s="202">
        <f t="shared" si="24"/>
        <v>53387558.413150184</v>
      </c>
      <c r="J154" s="202">
        <f t="shared" si="24"/>
        <v>56763387.200509652</v>
      </c>
      <c r="K154" s="966"/>
    </row>
    <row r="155" spans="1:11">
      <c r="A155" s="787" t="s">
        <v>83</v>
      </c>
      <c r="B155" s="787"/>
      <c r="C155" s="787"/>
      <c r="D155" s="787"/>
      <c r="E155" s="787"/>
      <c r="F155" s="203">
        <f>+F63</f>
        <v>7776724.666666667</v>
      </c>
      <c r="G155" s="203">
        <f t="shared" ref="G155:J155" si="25">+G63</f>
        <v>7776724.666666667</v>
      </c>
      <c r="H155" s="203">
        <f t="shared" si="25"/>
        <v>7776724.666666667</v>
      </c>
      <c r="I155" s="203">
        <f t="shared" si="25"/>
        <v>9187669.5999999996</v>
      </c>
      <c r="J155" s="203">
        <f t="shared" si="25"/>
        <v>8621403.5199999996</v>
      </c>
      <c r="K155" s="966"/>
    </row>
    <row r="156" spans="1:11">
      <c r="A156" s="787" t="s">
        <v>140</v>
      </c>
      <c r="B156" s="787"/>
      <c r="C156" s="787"/>
      <c r="D156" s="787"/>
      <c r="E156" s="787"/>
      <c r="F156" s="203">
        <f>+F64</f>
        <v>638600</v>
      </c>
      <c r="G156" s="203">
        <f t="shared" ref="G156:J156" si="26">+G64</f>
        <v>638600</v>
      </c>
      <c r="H156" s="203">
        <f t="shared" si="26"/>
        <v>638600</v>
      </c>
      <c r="I156" s="203">
        <f t="shared" si="26"/>
        <v>766320</v>
      </c>
      <c r="J156" s="203">
        <f t="shared" si="26"/>
        <v>904384</v>
      </c>
      <c r="K156" s="966"/>
    </row>
    <row r="157" spans="1:11">
      <c r="A157" s="935" t="s">
        <v>30</v>
      </c>
      <c r="B157" s="935"/>
      <c r="C157" s="935"/>
      <c r="D157" s="935"/>
      <c r="E157" s="935"/>
      <c r="F157" s="202">
        <f>+F154+F156+F155</f>
        <v>12697041.140165037</v>
      </c>
      <c r="G157" s="202">
        <f t="shared" ref="G157:J157" si="27">+G154+G156+G155</f>
        <v>60259771.943303086</v>
      </c>
      <c r="H157" s="202">
        <f t="shared" si="27"/>
        <v>60248106.942665935</v>
      </c>
      <c r="I157" s="202">
        <f t="shared" si="27"/>
        <v>63341548.013150185</v>
      </c>
      <c r="J157" s="202">
        <f t="shared" si="27"/>
        <v>66289174.720509648</v>
      </c>
      <c r="K157" s="966"/>
    </row>
    <row r="158" spans="1:11">
      <c r="K158" s="966"/>
    </row>
    <row r="159" spans="1:11">
      <c r="A159" s="909" t="s">
        <v>116</v>
      </c>
      <c r="B159" s="909"/>
      <c r="C159" s="909"/>
      <c r="D159" s="909"/>
      <c r="E159" s="909"/>
      <c r="F159" s="69">
        <f>F153</f>
        <v>2020</v>
      </c>
      <c r="G159" s="69">
        <f>G153</f>
        <v>2021</v>
      </c>
      <c r="H159" s="69">
        <f>H153</f>
        <v>2022</v>
      </c>
      <c r="I159" s="69">
        <f>I153</f>
        <v>2023</v>
      </c>
      <c r="J159" s="98">
        <f>J153</f>
        <v>2024</v>
      </c>
      <c r="K159" s="966"/>
    </row>
    <row r="160" spans="1:11">
      <c r="A160" s="918" t="s">
        <v>109</v>
      </c>
      <c r="B160" s="918"/>
      <c r="C160" s="918"/>
      <c r="D160" s="918"/>
      <c r="E160" s="918"/>
      <c r="F160" s="20">
        <f>+F97</f>
        <v>8.6768212942874567E-2</v>
      </c>
      <c r="G160" s="20">
        <f t="shared" ref="G160:J160" si="28">+G97</f>
        <v>0.11744014910581803</v>
      </c>
      <c r="H160" s="20">
        <f t="shared" si="28"/>
        <v>0.11744014910581803</v>
      </c>
      <c r="I160" s="20">
        <f t="shared" si="28"/>
        <v>0.11744014910581803</v>
      </c>
      <c r="J160" s="20">
        <f t="shared" si="28"/>
        <v>0.11744014910581803</v>
      </c>
      <c r="K160" s="966"/>
    </row>
    <row r="161" spans="1:11">
      <c r="A161" s="915" t="s">
        <v>110</v>
      </c>
      <c r="B161" s="915"/>
      <c r="C161" s="915"/>
      <c r="D161" s="915"/>
      <c r="E161" s="915"/>
      <c r="F161" s="20">
        <f>+F98</f>
        <v>8.6768212942874567E-2</v>
      </c>
      <c r="G161" s="20">
        <f t="shared" ref="G161:J161" si="29">+G98</f>
        <v>0.21439843391434943</v>
      </c>
      <c r="H161" s="20">
        <f t="shared" si="29"/>
        <v>0.35701756706712273</v>
      </c>
      <c r="I161" s="20">
        <f t="shared" si="29"/>
        <v>0.51638591248270016</v>
      </c>
      <c r="J161" s="20">
        <f t="shared" si="29"/>
        <v>0.69447050014663048</v>
      </c>
      <c r="K161" s="966"/>
    </row>
    <row r="162" spans="1:11">
      <c r="A162" s="236"/>
      <c r="B162" s="239"/>
      <c r="C162" s="239"/>
      <c r="D162" s="239"/>
      <c r="E162" s="239"/>
      <c r="F162" s="239"/>
      <c r="G162" s="239"/>
      <c r="H162" s="239"/>
      <c r="I162" s="239"/>
      <c r="J162" s="240"/>
      <c r="K162" s="967"/>
    </row>
    <row r="163" spans="1:11">
      <c r="A163" s="936" t="s">
        <v>142</v>
      </c>
      <c r="B163" s="936"/>
      <c r="C163" s="936"/>
      <c r="D163" s="936"/>
      <c r="E163" s="936"/>
      <c r="F163" s="238">
        <f>+F157</f>
        <v>12697041.140165037</v>
      </c>
      <c r="G163" s="238">
        <f t="shared" ref="G163:J163" si="30">+G157</f>
        <v>60259771.943303086</v>
      </c>
      <c r="H163" s="238">
        <f t="shared" si="30"/>
        <v>60248106.942665935</v>
      </c>
      <c r="I163" s="238">
        <f t="shared" si="30"/>
        <v>63341548.013150185</v>
      </c>
      <c r="J163" s="238">
        <f t="shared" si="30"/>
        <v>66289174.720509648</v>
      </c>
      <c r="K163" s="966"/>
    </row>
    <row r="164" spans="1:11">
      <c r="A164" s="236"/>
      <c r="B164" s="239"/>
      <c r="C164" s="239"/>
      <c r="D164" s="239"/>
      <c r="E164" s="239"/>
      <c r="F164" s="239"/>
      <c r="G164" s="239"/>
      <c r="H164" s="239"/>
      <c r="I164" s="239"/>
      <c r="J164" s="240"/>
      <c r="K164" s="967"/>
    </row>
    <row r="165" spans="1:11">
      <c r="A165" s="917" t="s">
        <v>261</v>
      </c>
      <c r="B165" s="917"/>
      <c r="C165" s="917"/>
      <c r="D165" s="917"/>
      <c r="E165" s="917"/>
      <c r="F165" s="245">
        <f>+F163/(1+F161)</f>
        <v>11683301.911989626</v>
      </c>
      <c r="G165" s="245">
        <f t="shared" ref="G165:J165" si="31">+G163/(1+G161)</f>
        <v>49621088.318657331</v>
      </c>
      <c r="H165" s="245">
        <f t="shared" si="31"/>
        <v>44397440.685221329</v>
      </c>
      <c r="I165" s="245">
        <f t="shared" si="31"/>
        <v>41771390.443376213</v>
      </c>
      <c r="J165" s="245">
        <f t="shared" si="31"/>
        <v>39120878.595864214</v>
      </c>
      <c r="K165" s="966"/>
    </row>
    <row r="166" spans="1:11">
      <c r="K166" s="966"/>
    </row>
    <row r="167" spans="1:11">
      <c r="A167" s="918" t="s">
        <v>189</v>
      </c>
      <c r="B167" s="918"/>
      <c r="C167" s="918"/>
      <c r="D167" s="918"/>
      <c r="E167" s="918"/>
      <c r="F167" s="93">
        <f>+SUM(F165:J165)</f>
        <v>186594099.9551087</v>
      </c>
      <c r="K167" s="966"/>
    </row>
    <row r="168" spans="1:11">
      <c r="K168" s="966"/>
    </row>
    <row r="169" spans="1:11">
      <c r="A169" s="918" t="s">
        <v>117</v>
      </c>
      <c r="B169" s="918"/>
      <c r="C169" s="918"/>
      <c r="D169" s="918"/>
      <c r="E169" s="918"/>
      <c r="F169" s="87">
        <f>+F167</f>
        <v>186594099.9551087</v>
      </c>
      <c r="K169" s="966"/>
    </row>
    <row r="170" spans="1:11">
      <c r="A170" s="908" t="s">
        <v>118</v>
      </c>
      <c r="B170" s="908"/>
      <c r="C170" s="908"/>
      <c r="D170" s="908"/>
      <c r="E170" s="908"/>
      <c r="F170" s="86">
        <f>+F111</f>
        <v>252150499</v>
      </c>
      <c r="K170" s="966"/>
    </row>
    <row r="171" spans="1:11">
      <c r="A171" s="908" t="s">
        <v>119</v>
      </c>
      <c r="B171" s="908"/>
      <c r="C171" s="908"/>
      <c r="D171" s="908"/>
      <c r="E171" s="908"/>
      <c r="F171" s="86">
        <f t="shared" ref="F171:F172" si="32">+F112</f>
        <v>223257202</v>
      </c>
      <c r="K171" s="966"/>
    </row>
    <row r="172" spans="1:11">
      <c r="A172" s="908" t="s">
        <v>143</v>
      </c>
      <c r="B172" s="908"/>
      <c r="C172" s="908"/>
      <c r="D172" s="908"/>
      <c r="E172" s="908"/>
      <c r="F172" s="86">
        <f t="shared" si="32"/>
        <v>135000000</v>
      </c>
      <c r="K172" s="966"/>
    </row>
    <row r="173" spans="1:11">
      <c r="A173" s="931" t="s">
        <v>120</v>
      </c>
      <c r="B173" s="931"/>
      <c r="C173" s="931"/>
      <c r="D173" s="931"/>
      <c r="E173" s="931"/>
      <c r="F173" s="255">
        <f>+F169-F170+F171-F172</f>
        <v>22700802.955108702</v>
      </c>
      <c r="G173" s="89"/>
      <c r="K173" s="966"/>
    </row>
    <row r="174" spans="1:11">
      <c r="F174" s="88"/>
      <c r="K174" s="966"/>
    </row>
    <row r="175" spans="1:11">
      <c r="A175" s="918" t="s">
        <v>121</v>
      </c>
      <c r="B175" s="918"/>
      <c r="C175" s="918"/>
      <c r="D175" s="918"/>
      <c r="E175" s="918"/>
      <c r="F175" s="86">
        <f>+F116</f>
        <v>-110209426</v>
      </c>
      <c r="K175" s="966"/>
    </row>
    <row r="176" spans="1:11">
      <c r="A176" s="40"/>
      <c r="B176" s="40"/>
      <c r="C176" s="40"/>
      <c r="D176" s="40"/>
      <c r="E176" s="40"/>
      <c r="F176" s="40"/>
      <c r="K176" s="966"/>
    </row>
    <row r="177" spans="1:17">
      <c r="A177" s="918" t="s">
        <v>124</v>
      </c>
      <c r="B177" s="918"/>
      <c r="C177" s="918"/>
      <c r="D177" s="918"/>
      <c r="E177" s="918"/>
      <c r="F177" s="7">
        <f>+F118</f>
        <v>1000000</v>
      </c>
      <c r="G177" s="257" t="s">
        <v>126</v>
      </c>
      <c r="K177" s="966"/>
    </row>
    <row r="178" spans="1:17">
      <c r="A178" s="918" t="s">
        <v>123</v>
      </c>
      <c r="B178" s="918"/>
      <c r="C178" s="918"/>
      <c r="D178" s="918"/>
      <c r="E178" s="918"/>
      <c r="F178" s="92">
        <f>+F175/F177</f>
        <v>-110.20942599999999</v>
      </c>
      <c r="K178" s="966"/>
    </row>
    <row r="179" spans="1:17">
      <c r="A179" s="918" t="s">
        <v>125</v>
      </c>
      <c r="B179" s="918"/>
      <c r="C179" s="918"/>
      <c r="D179" s="918"/>
      <c r="E179" s="918"/>
      <c r="F179" s="92">
        <f>+F173/F177</f>
        <v>22.700802955108703</v>
      </c>
      <c r="K179" s="966"/>
    </row>
    <row r="180" spans="1:17" ht="16.2" thickBot="1">
      <c r="A180" s="924" t="s">
        <v>122</v>
      </c>
      <c r="B180" s="924"/>
      <c r="C180" s="924"/>
      <c r="D180" s="924"/>
      <c r="E180" s="924"/>
      <c r="F180" s="256">
        <f>-(F179/F178)</f>
        <v>0.20597877857660474</v>
      </c>
      <c r="G180" s="94"/>
      <c r="K180" s="968"/>
    </row>
    <row r="184" spans="1:17" ht="15" thickBot="1">
      <c r="O184" s="506"/>
      <c r="P184" s="506"/>
      <c r="Q184" s="506"/>
    </row>
    <row r="185" spans="1:17" ht="15" customHeight="1">
      <c r="A185" s="796" t="s">
        <v>182</v>
      </c>
      <c r="B185" s="797"/>
      <c r="C185" s="797"/>
      <c r="D185" s="797"/>
      <c r="E185" s="797"/>
      <c r="F185" s="797"/>
      <c r="G185" s="797"/>
      <c r="H185" s="797"/>
      <c r="I185" s="797"/>
      <c r="J185" s="797"/>
      <c r="K185" s="798"/>
      <c r="O185" s="937"/>
      <c r="P185" s="937"/>
      <c r="Q185" s="507"/>
    </row>
    <row r="186" spans="1:17" ht="15" customHeight="1" thickBot="1">
      <c r="A186" s="799"/>
      <c r="B186" s="800"/>
      <c r="C186" s="800"/>
      <c r="D186" s="800"/>
      <c r="E186" s="800"/>
      <c r="F186" s="800"/>
      <c r="G186" s="800"/>
      <c r="H186" s="800"/>
      <c r="I186" s="800"/>
      <c r="J186" s="800"/>
      <c r="K186" s="801"/>
      <c r="O186" s="937"/>
      <c r="P186" s="937"/>
      <c r="Q186" s="508"/>
    </row>
    <row r="187" spans="1:17" ht="28.8">
      <c r="A187" s="956" t="s">
        <v>147</v>
      </c>
      <c r="B187" s="956"/>
      <c r="C187" s="956"/>
      <c r="D187" s="956"/>
      <c r="E187" s="956"/>
      <c r="F187" s="266" t="s">
        <v>146</v>
      </c>
      <c r="G187" s="266" t="s">
        <v>148</v>
      </c>
      <c r="H187" s="266" t="s">
        <v>149</v>
      </c>
      <c r="I187" s="267" t="s">
        <v>122</v>
      </c>
      <c r="J187" s="266" t="s">
        <v>150</v>
      </c>
      <c r="K187" s="266" t="s">
        <v>151</v>
      </c>
      <c r="O187" s="505" t="s">
        <v>228</v>
      </c>
      <c r="P187" s="505" t="s">
        <v>229</v>
      </c>
      <c r="Q187" s="505" t="s">
        <v>147</v>
      </c>
    </row>
    <row r="188" spans="1:17">
      <c r="A188" s="918" t="s">
        <v>153</v>
      </c>
      <c r="B188" s="918"/>
      <c r="C188" s="918"/>
      <c r="D188" s="918"/>
      <c r="E188" s="918"/>
      <c r="F188" s="10">
        <f>+J131</f>
        <v>150159690.13170591</v>
      </c>
      <c r="G188" s="10">
        <f>$F$175</f>
        <v>-110209426</v>
      </c>
      <c r="H188" s="10">
        <f>+F188-G188</f>
        <v>260369116.13170591</v>
      </c>
      <c r="I188" s="97">
        <f>-(F188/G188)</f>
        <v>1.3624940767925413</v>
      </c>
      <c r="J188" s="97">
        <v>2.0699999999999998</v>
      </c>
      <c r="K188" s="96">
        <f>I188-J188</f>
        <v>-0.70750592320745853</v>
      </c>
      <c r="O188" s="51" t="s">
        <v>227</v>
      </c>
      <c r="P188" s="161">
        <f>+AVERAGE(F190:F191)</f>
        <v>-58247163.671104729</v>
      </c>
      <c r="Q188" s="4" t="s">
        <v>232</v>
      </c>
    </row>
    <row r="189" spans="1:17" ht="15" thickBot="1">
      <c r="A189" s="918" t="s">
        <v>152</v>
      </c>
      <c r="B189" s="918"/>
      <c r="C189" s="918"/>
      <c r="D189" s="918"/>
      <c r="E189" s="918"/>
      <c r="F189" s="10">
        <f>+J141</f>
        <v>223048908.55539742</v>
      </c>
      <c r="G189" s="10">
        <f>$F$175</f>
        <v>-110209426</v>
      </c>
      <c r="H189" s="10">
        <f>F189-G189</f>
        <v>333258334.55539739</v>
      </c>
      <c r="I189" s="97">
        <f t="shared" ref="I189:I191" si="33">-(F189/G189)</f>
        <v>2.0238641707053024</v>
      </c>
      <c r="J189" s="97">
        <v>2.0699999999999998</v>
      </c>
      <c r="K189" s="96">
        <f>I189-J189</f>
        <v>-4.6135829294697395E-2</v>
      </c>
      <c r="O189" s="51" t="s">
        <v>225</v>
      </c>
      <c r="P189" s="10">
        <f>+L190</f>
        <v>64178567.836223468</v>
      </c>
      <c r="Q189" s="4" t="s">
        <v>231</v>
      </c>
    </row>
    <row r="190" spans="1:17" ht="16.2" thickBot="1">
      <c r="A190" s="918" t="s">
        <v>30</v>
      </c>
      <c r="B190" s="918"/>
      <c r="C190" s="918"/>
      <c r="D190" s="918"/>
      <c r="E190" s="918"/>
      <c r="F190" s="95">
        <f>+F173</f>
        <v>22700802.955108702</v>
      </c>
      <c r="G190" s="10">
        <f>$F$175</f>
        <v>-110209426</v>
      </c>
      <c r="H190" s="10">
        <f>F190-G190</f>
        <v>132910228.9551087</v>
      </c>
      <c r="I190" s="97">
        <f t="shared" si="33"/>
        <v>0.20597877857660471</v>
      </c>
      <c r="J190" s="97">
        <v>2.0699999999999998</v>
      </c>
      <c r="K190" s="96">
        <f>I190-J190</f>
        <v>-1.8640212214233951</v>
      </c>
      <c r="L190" s="862">
        <f>+AVERAGE(F188:F191)</f>
        <v>64178567.836223468</v>
      </c>
      <c r="M190" s="863"/>
      <c r="N190" s="126">
        <f>+AVERAGE(I188:I191)</f>
        <v>0.58233283817505277</v>
      </c>
      <c r="O190" s="51" t="s">
        <v>226</v>
      </c>
      <c r="P190" s="10">
        <f>+AVERAGE(F188:F189)</f>
        <v>186604299.34355167</v>
      </c>
      <c r="Q190" s="4" t="s">
        <v>230</v>
      </c>
    </row>
    <row r="191" spans="1:17" ht="15" thickBot="1">
      <c r="A191" s="918" t="s">
        <v>145</v>
      </c>
      <c r="B191" s="918"/>
      <c r="C191" s="918"/>
      <c r="D191" s="918"/>
      <c r="E191" s="918"/>
      <c r="F191" s="95">
        <f>+F114</f>
        <v>-139195130.29731816</v>
      </c>
      <c r="G191" s="10">
        <f>$F$175</f>
        <v>-110209426</v>
      </c>
      <c r="H191" s="10">
        <f>F191-G191</f>
        <v>-28985704.297318161</v>
      </c>
      <c r="I191" s="97">
        <f t="shared" si="33"/>
        <v>-1.2630056733742372</v>
      </c>
      <c r="J191" s="97">
        <v>2.0699999999999998</v>
      </c>
      <c r="K191" s="96">
        <f>I191-J191</f>
        <v>-3.3330056733742373</v>
      </c>
      <c r="L191" s="864"/>
      <c r="M191" s="865"/>
      <c r="N191" s="125" t="s">
        <v>191</v>
      </c>
    </row>
    <row r="192" spans="1:17" ht="15" thickBot="1">
      <c r="H192" s="88"/>
      <c r="L192" s="32"/>
    </row>
    <row r="193" spans="1:11">
      <c r="A193" s="957" t="s">
        <v>29</v>
      </c>
      <c r="B193" s="958"/>
      <c r="C193" s="958"/>
      <c r="D193" s="958"/>
      <c r="E193" s="959"/>
      <c r="F193" s="207">
        <f>+L190/'Estados Finan + Estrategia'!J85</f>
        <v>4.2345376855474952E-2</v>
      </c>
      <c r="J193" s="100"/>
    </row>
    <row r="194" spans="1:11">
      <c r="A194" s="960" t="s">
        <v>258</v>
      </c>
      <c r="B194" s="931"/>
      <c r="C194" s="931"/>
      <c r="D194" s="931"/>
      <c r="E194" s="961"/>
      <c r="F194" s="208">
        <f>+L190/'Estados Finan + Estrategia'!J98</f>
        <v>-0.37222448465418972</v>
      </c>
      <c r="J194" s="32"/>
    </row>
    <row r="195" spans="1:11" ht="15" thickBot="1">
      <c r="A195" s="962" t="s">
        <v>30</v>
      </c>
      <c r="B195" s="963"/>
      <c r="C195" s="963"/>
      <c r="D195" s="963"/>
      <c r="E195" s="964"/>
      <c r="F195" s="209">
        <f>+L190/('Estados Finan + Estrategia'!J98+'Estados Finan + Estrategia'!J97+'Estados Finan + Estrategia'!J94+'Estados Finan + Estrategia'!J103+'Estados Finan + Estrategia'!J104)</f>
        <v>-0.53873912300617455</v>
      </c>
    </row>
    <row r="196" spans="1:11" ht="15" thickBot="1"/>
    <row r="197" spans="1:11">
      <c r="A197" s="938" t="s">
        <v>183</v>
      </c>
      <c r="B197" s="939"/>
      <c r="C197" s="939"/>
      <c r="D197" s="939"/>
      <c r="E197" s="939"/>
      <c r="F197" s="939"/>
      <c r="G197" s="939"/>
      <c r="H197" s="939"/>
      <c r="I197" s="939"/>
      <c r="J197" s="939"/>
      <c r="K197" s="940"/>
    </row>
    <row r="198" spans="1:11" ht="15" thickBot="1">
      <c r="A198" s="941"/>
      <c r="B198" s="942"/>
      <c r="C198" s="942"/>
      <c r="D198" s="942"/>
      <c r="E198" s="942"/>
      <c r="F198" s="942"/>
      <c r="G198" s="942"/>
      <c r="H198" s="942"/>
      <c r="I198" s="942"/>
      <c r="J198" s="942"/>
      <c r="K198" s="943"/>
    </row>
    <row r="199" spans="1:11" ht="31.8" thickBot="1">
      <c r="A199" s="944" t="s">
        <v>147</v>
      </c>
      <c r="B199" s="945"/>
      <c r="C199" s="945"/>
      <c r="D199" s="945"/>
      <c r="E199" s="946"/>
      <c r="F199" s="271" t="s">
        <v>184</v>
      </c>
      <c r="G199" s="272" t="s">
        <v>185</v>
      </c>
      <c r="H199" s="273" t="s">
        <v>151</v>
      </c>
      <c r="I199" s="273" t="s">
        <v>150</v>
      </c>
      <c r="J199" s="273" t="s">
        <v>151</v>
      </c>
      <c r="K199" s="273" t="s">
        <v>186</v>
      </c>
    </row>
    <row r="200" spans="1:11">
      <c r="A200" s="947" t="s">
        <v>153</v>
      </c>
      <c r="B200" s="948"/>
      <c r="C200" s="948"/>
      <c r="D200" s="948"/>
      <c r="E200" s="949"/>
      <c r="F200" s="268">
        <f>+'Valoración Sin Estrategia'!I188</f>
        <v>-1.0102080742007493</v>
      </c>
      <c r="G200" s="268">
        <f>+I188</f>
        <v>1.3624940767925413</v>
      </c>
      <c r="H200" s="268">
        <f>+G200-F200</f>
        <v>2.3727021509932906</v>
      </c>
      <c r="I200" s="268">
        <f>+J188</f>
        <v>2.0699999999999998</v>
      </c>
      <c r="J200" s="269">
        <f>+G200-I200</f>
        <v>-0.70750592320745853</v>
      </c>
      <c r="K200" s="270">
        <f>+H188-'Valoración Sin Estrategia'!H188</f>
        <v>261494142.12993589</v>
      </c>
    </row>
    <row r="201" spans="1:11">
      <c r="A201" s="953" t="s">
        <v>152</v>
      </c>
      <c r="B201" s="954"/>
      <c r="C201" s="954"/>
      <c r="D201" s="954"/>
      <c r="E201" s="955"/>
      <c r="F201" s="268">
        <f>+'Valoración Sin Estrategia'!I189</f>
        <v>-0.3776207055610919</v>
      </c>
      <c r="G201" s="268">
        <f t="shared" ref="G201:G203" si="34">+I189</f>
        <v>2.0238641707053024</v>
      </c>
      <c r="H201" s="268">
        <f t="shared" ref="H201:H203" si="35">+G201-F201</f>
        <v>2.4014848762663945</v>
      </c>
      <c r="I201" s="268">
        <f t="shared" ref="I201:I203" si="36">+J189</f>
        <v>2.0699999999999998</v>
      </c>
      <c r="J201" s="269">
        <f t="shared" ref="J201:J202" si="37">+G201-I201</f>
        <v>-4.6135829294697395E-2</v>
      </c>
      <c r="K201" s="270">
        <f>+H189-'Valoración Sin Estrategia'!H189</f>
        <v>264666269.76100034</v>
      </c>
    </row>
    <row r="202" spans="1:11">
      <c r="A202" s="953" t="s">
        <v>30</v>
      </c>
      <c r="B202" s="954"/>
      <c r="C202" s="954"/>
      <c r="D202" s="954"/>
      <c r="E202" s="955"/>
      <c r="F202" s="268">
        <f>+'Valoración Sin Estrategia'!I190</f>
        <v>-1.9191123628997864</v>
      </c>
      <c r="G202" s="268">
        <f t="shared" si="34"/>
        <v>0.20597877857660471</v>
      </c>
      <c r="H202" s="268">
        <f t="shared" si="35"/>
        <v>2.1250911414763909</v>
      </c>
      <c r="I202" s="268">
        <f t="shared" si="36"/>
        <v>2.0699999999999998</v>
      </c>
      <c r="J202" s="269">
        <f t="shared" si="37"/>
        <v>-1.8640212214233951</v>
      </c>
      <c r="K202" s="270">
        <f>+H190-'Valoración Sin Estrategia'!H190</f>
        <v>234205074.89979786</v>
      </c>
    </row>
    <row r="203" spans="1:11" ht="15" thickBot="1">
      <c r="A203" s="950" t="s">
        <v>145</v>
      </c>
      <c r="B203" s="951"/>
      <c r="C203" s="951"/>
      <c r="D203" s="951"/>
      <c r="E203" s="952"/>
      <c r="F203" s="268">
        <f>+'Valoración Sin Estrategia'!I191</f>
        <v>-1.9172343996456149</v>
      </c>
      <c r="G203" s="268">
        <f t="shared" si="34"/>
        <v>-1.2630056733742372</v>
      </c>
      <c r="H203" s="268">
        <f t="shared" si="35"/>
        <v>0.65422872627137774</v>
      </c>
      <c r="I203" s="268">
        <f t="shared" si="36"/>
        <v>2.0699999999999998</v>
      </c>
      <c r="J203" s="269">
        <f>+G203-I203</f>
        <v>-3.3330056733742373</v>
      </c>
      <c r="K203" s="270">
        <f>+H191-'Valoración Sin Estrategia'!H191</f>
        <v>72102172.395079672</v>
      </c>
    </row>
  </sheetData>
  <mergeCells count="143">
    <mergeCell ref="O185:P186"/>
    <mergeCell ref="A150:J151"/>
    <mergeCell ref="A197:K198"/>
    <mergeCell ref="A199:E199"/>
    <mergeCell ref="A200:E200"/>
    <mergeCell ref="A203:E203"/>
    <mergeCell ref="A201:E201"/>
    <mergeCell ref="A202:E202"/>
    <mergeCell ref="A191:E191"/>
    <mergeCell ref="A185:K186"/>
    <mergeCell ref="A187:E187"/>
    <mergeCell ref="A188:E188"/>
    <mergeCell ref="A189:E189"/>
    <mergeCell ref="A190:E190"/>
    <mergeCell ref="A193:E193"/>
    <mergeCell ref="A194:E194"/>
    <mergeCell ref="A195:E195"/>
    <mergeCell ref="A180:E180"/>
    <mergeCell ref="K153:K180"/>
    <mergeCell ref="A172:E172"/>
    <mergeCell ref="A173:E173"/>
    <mergeCell ref="A175:E175"/>
    <mergeCell ref="A165:E165"/>
    <mergeCell ref="A167:E167"/>
    <mergeCell ref="A177:E177"/>
    <mergeCell ref="A178:E178"/>
    <mergeCell ref="A179:E179"/>
    <mergeCell ref="A155:E155"/>
    <mergeCell ref="A156:E156"/>
    <mergeCell ref="A157:E157"/>
    <mergeCell ref="A154:E154"/>
    <mergeCell ref="A169:E169"/>
    <mergeCell ref="A170:E170"/>
    <mergeCell ref="A171:E171"/>
    <mergeCell ref="A163:E163"/>
    <mergeCell ref="A161:E161"/>
    <mergeCell ref="A160:E160"/>
    <mergeCell ref="A153:E153"/>
    <mergeCell ref="A159:E159"/>
    <mergeCell ref="A104:E104"/>
    <mergeCell ref="A106:E106"/>
    <mergeCell ref="A107:E107"/>
    <mergeCell ref="A108:E108"/>
    <mergeCell ref="A96:E96"/>
    <mergeCell ref="K96:K121"/>
    <mergeCell ref="A97:E97"/>
    <mergeCell ref="A98:E98"/>
    <mergeCell ref="A100:E100"/>
    <mergeCell ref="A101:E101"/>
    <mergeCell ref="A103:E103"/>
    <mergeCell ref="A118:E118"/>
    <mergeCell ref="A119:E119"/>
    <mergeCell ref="A120:E120"/>
    <mergeCell ref="A121:E121"/>
    <mergeCell ref="A110:E110"/>
    <mergeCell ref="A111:E111"/>
    <mergeCell ref="A112:E112"/>
    <mergeCell ref="A113:E113"/>
    <mergeCell ref="A114:E114"/>
    <mergeCell ref="A116:E116"/>
    <mergeCell ref="K128:K143"/>
    <mergeCell ref="F89:I89"/>
    <mergeCell ref="F90:I90"/>
    <mergeCell ref="K90:L93"/>
    <mergeCell ref="F91:I91"/>
    <mergeCell ref="F92:I92"/>
    <mergeCell ref="F93:I93"/>
    <mergeCell ref="F80:I80"/>
    <mergeCell ref="F81:I81"/>
    <mergeCell ref="F84:I84"/>
    <mergeCell ref="F85:I85"/>
    <mergeCell ref="K85:L87"/>
    <mergeCell ref="F86:I86"/>
    <mergeCell ref="F87:I87"/>
    <mergeCell ref="A125:J126"/>
    <mergeCell ref="A129:E129"/>
    <mergeCell ref="A130:E130"/>
    <mergeCell ref="A131:E131"/>
    <mergeCell ref="A132:E132"/>
    <mergeCell ref="A133:E133"/>
    <mergeCell ref="A143:E143"/>
    <mergeCell ref="A142:E142"/>
    <mergeCell ref="A141:E141"/>
    <mergeCell ref="A128:E128"/>
    <mergeCell ref="A138:E138"/>
    <mergeCell ref="A139:E139"/>
    <mergeCell ref="A140:E140"/>
    <mergeCell ref="B66:E66"/>
    <mergeCell ref="B68:E68"/>
    <mergeCell ref="B69:E69"/>
    <mergeCell ref="B70:E70"/>
    <mergeCell ref="B72:E72"/>
    <mergeCell ref="A75:J76"/>
    <mergeCell ref="B58:E58"/>
    <mergeCell ref="B60:E60"/>
    <mergeCell ref="B61:E61"/>
    <mergeCell ref="B63:E63"/>
    <mergeCell ref="B64:E64"/>
    <mergeCell ref="B65:E65"/>
    <mergeCell ref="A74:D74"/>
    <mergeCell ref="B54:E54"/>
    <mergeCell ref="B55:E55"/>
    <mergeCell ref="B56:E56"/>
    <mergeCell ref="B57:E57"/>
    <mergeCell ref="A40:E40"/>
    <mergeCell ref="A41:E41"/>
    <mergeCell ref="A42:E42"/>
    <mergeCell ref="A44:E44"/>
    <mergeCell ref="A46:E46"/>
    <mergeCell ref="A47:E47"/>
    <mergeCell ref="A18:F18"/>
    <mergeCell ref="A20:E20"/>
    <mergeCell ref="G20:G25"/>
    <mergeCell ref="A21:E21"/>
    <mergeCell ref="A22:E22"/>
    <mergeCell ref="A24:E24"/>
    <mergeCell ref="A25:E25"/>
    <mergeCell ref="A49:E49"/>
    <mergeCell ref="A51:J52"/>
    <mergeCell ref="L190:M191"/>
    <mergeCell ref="A1:Q2"/>
    <mergeCell ref="A3:Q3"/>
    <mergeCell ref="A4:Q4"/>
    <mergeCell ref="A5:Q5"/>
    <mergeCell ref="A6:Q6"/>
    <mergeCell ref="A7:F7"/>
    <mergeCell ref="A8:F8"/>
    <mergeCell ref="I8:N8"/>
    <mergeCell ref="A9:E9"/>
    <mergeCell ref="A10:E10"/>
    <mergeCell ref="G10:G15"/>
    <mergeCell ref="A11:E11"/>
    <mergeCell ref="A12:E12"/>
    <mergeCell ref="A14:E14"/>
    <mergeCell ref="A15:E15"/>
    <mergeCell ref="A27:E27"/>
    <mergeCell ref="A30:E30"/>
    <mergeCell ref="A33:E33"/>
    <mergeCell ref="A34:E34"/>
    <mergeCell ref="A35:E35"/>
    <mergeCell ref="A37:E37"/>
    <mergeCell ref="A17:E17"/>
    <mergeCell ref="G17:G1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16A4F-D3B2-4A0F-B5C5-391160CDBB25}">
  <sheetPr>
    <tabColor rgb="FFFFC000"/>
  </sheetPr>
  <dimension ref="A2:O38"/>
  <sheetViews>
    <sheetView showGridLines="0" topLeftCell="A31" zoomScale="85" zoomScaleNormal="85" workbookViewId="0">
      <selection activeCell="G22" sqref="E22:G23"/>
    </sheetView>
  </sheetViews>
  <sheetFormatPr baseColWidth="10" defaultRowHeight="14.4"/>
  <cols>
    <col min="1" max="1" width="45.44140625" customWidth="1"/>
    <col min="2" max="2" width="14.5546875" customWidth="1"/>
    <col min="3" max="4" width="16.5546875" hidden="1" customWidth="1"/>
    <col min="5" max="5" width="16.5546875" customWidth="1"/>
    <col min="6" max="7" width="18.109375" bestFit="1" customWidth="1"/>
    <col min="8" max="10" width="18.109375" customWidth="1"/>
    <col min="11" max="12" width="18.109375" bestFit="1" customWidth="1"/>
    <col min="14" max="14" width="40.21875" bestFit="1" customWidth="1"/>
  </cols>
  <sheetData>
    <row r="2" spans="1:14" ht="22.8">
      <c r="A2" s="488" t="s">
        <v>377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</row>
    <row r="3" spans="1:14" ht="18">
      <c r="A3" s="490" t="s">
        <v>378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1"/>
      <c r="M3" s="489"/>
      <c r="N3" s="489"/>
    </row>
    <row r="4" spans="1:14" ht="18">
      <c r="A4" s="489"/>
      <c r="B4" s="489"/>
      <c r="C4" s="489"/>
      <c r="D4" s="489"/>
      <c r="E4" s="489"/>
      <c r="F4" s="489"/>
      <c r="G4" s="489"/>
      <c r="H4" s="489"/>
      <c r="I4" s="489"/>
      <c r="J4" s="489"/>
      <c r="K4" s="489"/>
      <c r="L4" s="489"/>
      <c r="M4" s="489"/>
      <c r="N4" s="489"/>
    </row>
    <row r="5" spans="1:14" ht="18">
      <c r="A5" s="492" t="s">
        <v>379</v>
      </c>
      <c r="B5" s="492"/>
      <c r="C5" s="492"/>
      <c r="D5" s="492"/>
      <c r="E5" s="492"/>
      <c r="F5" s="493"/>
      <c r="G5" s="493"/>
      <c r="H5" s="493"/>
      <c r="I5" s="493"/>
      <c r="J5" s="493"/>
      <c r="K5" s="493"/>
      <c r="L5" s="489"/>
      <c r="M5" s="489"/>
      <c r="N5" s="489"/>
    </row>
    <row r="6" spans="1:14" ht="18.600000000000001" thickBot="1">
      <c r="A6" s="489"/>
      <c r="B6" s="489"/>
      <c r="C6" s="489"/>
      <c r="D6" s="489"/>
      <c r="E6" s="489"/>
      <c r="F6" s="489"/>
      <c r="G6" s="489"/>
      <c r="H6" s="489"/>
      <c r="I6" s="489"/>
      <c r="J6" s="489"/>
      <c r="K6" s="489"/>
      <c r="L6" s="489"/>
      <c r="M6" s="489"/>
      <c r="N6" s="489"/>
    </row>
    <row r="7" spans="1:14" ht="18">
      <c r="A7" s="979" t="s">
        <v>380</v>
      </c>
      <c r="B7" s="980"/>
      <c r="C7" s="980"/>
      <c r="D7" s="980"/>
      <c r="E7" s="981"/>
      <c r="F7" s="982" t="s">
        <v>381</v>
      </c>
      <c r="G7" s="983"/>
      <c r="H7" s="984"/>
      <c r="I7" s="984"/>
      <c r="J7" s="984"/>
      <c r="K7" s="985"/>
      <c r="L7" s="489"/>
      <c r="M7" s="489"/>
      <c r="N7" s="489"/>
    </row>
    <row r="8" spans="1:14" ht="18">
      <c r="A8" s="970" t="s">
        <v>382</v>
      </c>
      <c r="B8" s="971"/>
      <c r="C8" s="971"/>
      <c r="D8" s="971"/>
      <c r="E8" s="972"/>
      <c r="F8" s="973" t="s">
        <v>383</v>
      </c>
      <c r="G8" s="974"/>
      <c r="H8" s="975"/>
      <c r="I8" s="975"/>
      <c r="J8" s="975"/>
      <c r="K8" s="976"/>
      <c r="L8" s="969"/>
      <c r="M8" s="969"/>
      <c r="N8" s="489"/>
    </row>
    <row r="9" spans="1:14" ht="18">
      <c r="A9" s="970" t="s">
        <v>384</v>
      </c>
      <c r="B9" s="971"/>
      <c r="C9" s="971"/>
      <c r="D9" s="971"/>
      <c r="E9" s="972"/>
      <c r="F9" s="973" t="s">
        <v>385</v>
      </c>
      <c r="G9" s="974"/>
      <c r="H9" s="975"/>
      <c r="I9" s="975"/>
      <c r="J9" s="975"/>
      <c r="K9" s="976"/>
      <c r="L9" s="969"/>
      <c r="M9" s="969"/>
      <c r="N9" s="489"/>
    </row>
    <row r="10" spans="1:14" ht="18.600000000000001" thickBot="1">
      <c r="A10" s="986" t="s">
        <v>386</v>
      </c>
      <c r="B10" s="987"/>
      <c r="C10" s="987"/>
      <c r="D10" s="987"/>
      <c r="E10" s="988"/>
      <c r="F10" s="989" t="s">
        <v>387</v>
      </c>
      <c r="G10" s="990"/>
      <c r="H10" s="991"/>
      <c r="I10" s="991"/>
      <c r="J10" s="991"/>
      <c r="K10" s="992"/>
      <c r="L10" s="969"/>
      <c r="M10" s="969"/>
      <c r="N10" s="489"/>
    </row>
    <row r="11" spans="1:14" ht="18">
      <c r="A11" s="489"/>
      <c r="B11" s="489"/>
      <c r="C11" s="489"/>
      <c r="D11" s="489"/>
      <c r="E11" s="489"/>
      <c r="F11" s="489"/>
      <c r="G11" s="489"/>
      <c r="H11" s="489"/>
      <c r="I11" s="489"/>
      <c r="J11" s="489"/>
      <c r="K11" s="489"/>
      <c r="L11" s="489"/>
      <c r="M11" s="489"/>
      <c r="N11" s="489"/>
    </row>
    <row r="12" spans="1:14" ht="18">
      <c r="A12" s="489" t="s">
        <v>388</v>
      </c>
      <c r="B12" s="489"/>
      <c r="C12" s="489"/>
      <c r="D12" s="489"/>
      <c r="E12" s="489"/>
      <c r="F12" s="489"/>
      <c r="G12" s="489"/>
      <c r="H12" s="489"/>
      <c r="I12" s="489"/>
      <c r="J12" s="489"/>
      <c r="K12" s="489"/>
      <c r="L12" s="489"/>
      <c r="M12" s="489"/>
      <c r="N12" s="489"/>
    </row>
    <row r="13" spans="1:14" ht="18">
      <c r="A13" s="489"/>
      <c r="B13" s="489"/>
      <c r="C13" s="489"/>
      <c r="D13" s="489"/>
      <c r="E13" s="489"/>
      <c r="F13" s="489"/>
      <c r="G13" s="489"/>
      <c r="H13" s="489"/>
      <c r="I13" s="489"/>
      <c r="J13" s="489"/>
      <c r="K13" s="489"/>
      <c r="L13" s="489"/>
      <c r="M13" s="489"/>
      <c r="N13" s="489"/>
    </row>
    <row r="14" spans="1:14" ht="18">
      <c r="A14" s="490" t="s">
        <v>389</v>
      </c>
      <c r="B14" s="490"/>
      <c r="C14" s="490"/>
      <c r="D14" s="490"/>
      <c r="E14" s="490"/>
      <c r="F14" s="490"/>
      <c r="G14" s="490"/>
      <c r="H14" s="490"/>
      <c r="I14" s="490"/>
      <c r="J14" s="490"/>
      <c r="K14" s="494"/>
      <c r="L14" s="489"/>
      <c r="M14" s="489"/>
      <c r="N14" s="489"/>
    </row>
    <row r="15" spans="1:14" ht="18">
      <c r="A15" s="489"/>
      <c r="B15" s="489"/>
      <c r="C15" s="489"/>
      <c r="D15" s="489"/>
      <c r="E15" s="489"/>
      <c r="F15" s="489"/>
      <c r="G15" s="489"/>
      <c r="H15" s="489"/>
      <c r="I15" s="489"/>
      <c r="J15" s="489"/>
      <c r="K15" s="489"/>
      <c r="L15" s="489"/>
      <c r="M15" s="489"/>
      <c r="N15" s="489"/>
    </row>
    <row r="16" spans="1:14" ht="18">
      <c r="A16" s="489"/>
      <c r="B16" s="489"/>
      <c r="C16" s="489"/>
      <c r="D16" s="489"/>
      <c r="E16" s="489"/>
      <c r="F16" s="489"/>
      <c r="G16" s="489"/>
      <c r="H16" s="489"/>
      <c r="I16" s="489"/>
      <c r="J16" s="489"/>
      <c r="K16" s="489"/>
      <c r="L16" s="489"/>
      <c r="M16" s="489"/>
      <c r="N16" s="489"/>
    </row>
    <row r="17" spans="1:15" ht="18">
      <c r="A17" s="489"/>
      <c r="B17" s="489"/>
      <c r="C17" s="489"/>
      <c r="D17" s="489"/>
      <c r="E17" s="489"/>
      <c r="F17" s="489"/>
      <c r="G17" s="489"/>
      <c r="H17" s="489"/>
      <c r="I17" s="489"/>
      <c r="J17" s="489"/>
      <c r="K17" s="489"/>
      <c r="L17" s="489"/>
      <c r="M17" s="489"/>
      <c r="N17" s="489"/>
    </row>
    <row r="18" spans="1:15" ht="18">
      <c r="A18" s="1"/>
      <c r="B18" s="1"/>
      <c r="C18" s="1"/>
      <c r="D18" s="1"/>
      <c r="E18" s="1"/>
      <c r="F18" s="1"/>
      <c r="G18" s="1"/>
      <c r="H18" s="1"/>
      <c r="I18" s="1"/>
      <c r="J18" s="1"/>
      <c r="K18" s="489"/>
      <c r="L18" s="489"/>
      <c r="M18" s="489"/>
      <c r="N18" s="489"/>
    </row>
    <row r="19" spans="1:15" ht="25.8">
      <c r="A19" s="978" t="s">
        <v>390</v>
      </c>
      <c r="B19" s="978"/>
      <c r="C19" s="495">
        <v>2015</v>
      </c>
      <c r="D19" s="495">
        <v>2016</v>
      </c>
      <c r="E19" s="495">
        <v>2017</v>
      </c>
      <c r="F19" s="495">
        <v>2018</v>
      </c>
      <c r="G19" s="495">
        <v>2019</v>
      </c>
      <c r="H19" s="495">
        <v>2020</v>
      </c>
      <c r="I19" s="495">
        <v>2021</v>
      </c>
      <c r="J19" s="495">
        <v>2022</v>
      </c>
      <c r="K19" s="495">
        <v>2023</v>
      </c>
      <c r="L19" s="495">
        <v>2024</v>
      </c>
      <c r="M19" s="489"/>
      <c r="N19" s="489"/>
    </row>
    <row r="20" spans="1:15" ht="20.399999999999999">
      <c r="A20" s="977" t="s">
        <v>391</v>
      </c>
      <c r="B20" s="977"/>
      <c r="C20" s="496">
        <v>-37080425</v>
      </c>
      <c r="D20" s="496">
        <v>-14331208</v>
      </c>
      <c r="E20" s="496">
        <f>+'Cifras Historicas'!H22-'Cifras Historicas'!H39</f>
        <v>1221000</v>
      </c>
      <c r="F20" s="496">
        <f>+'Cifras Historicas'!I22-'Cifras Historicas'!I39</f>
        <v>59561000</v>
      </c>
      <c r="G20" s="496">
        <f>+'Cifras Historicas'!J22-'Cifras Historicas'!J39</f>
        <v>14133528</v>
      </c>
      <c r="H20" s="496">
        <f>+'Estados Finan + Estrategia'!K45-'Estados Finan + Estrategia'!K62</f>
        <v>13846617.381600022</v>
      </c>
      <c r="I20" s="496">
        <f>+'Estados Finan + Estrategia'!L45-'Estados Finan + Estrategia'!L62</f>
        <v>13633877.952149123</v>
      </c>
      <c r="J20" s="496">
        <f>+'Estados Finan + Estrategia'!M45-'Estados Finan + Estrategia'!M62</f>
        <v>13630810.329609901</v>
      </c>
      <c r="K20" s="496">
        <f>+'Estados Finan + Estrategia'!N45-'Estados Finan + Estrategia'!N62</f>
        <v>14039680.116256893</v>
      </c>
      <c r="L20" s="496">
        <f>+'Estados Finan + Estrategia'!O45-'Estados Finan + Estrategia'!O62</f>
        <v>14927444.18920812</v>
      </c>
      <c r="M20" s="489"/>
      <c r="N20" s="489"/>
    </row>
    <row r="21" spans="1:15" ht="20.399999999999999">
      <c r="A21" s="977" t="s">
        <v>392</v>
      </c>
      <c r="B21" s="977"/>
      <c r="C21" s="496">
        <v>136095720</v>
      </c>
      <c r="D21" s="496">
        <v>96772464</v>
      </c>
      <c r="E21" s="496">
        <f>+'Cifras Historicas'!H31</f>
        <v>169412000</v>
      </c>
      <c r="F21" s="496">
        <f>+'Cifras Historicas'!I31</f>
        <v>266738000</v>
      </c>
      <c r="G21" s="496">
        <f>+'Cifras Historicas'!J31</f>
        <v>276941073</v>
      </c>
      <c r="H21" s="496">
        <f>+'Estados Finan + Estrategia'!K54</f>
        <v>386319169.21810001</v>
      </c>
      <c r="I21" s="496">
        <f>+'Estados Finan + Estrategia'!L54</f>
        <v>380383761.50223309</v>
      </c>
      <c r="J21" s="496">
        <f>+'Estados Finan + Estrategia'!M54</f>
        <v>380298175.15589499</v>
      </c>
      <c r="K21" s="496">
        <f>+'Estados Finan + Estrategia'!N54</f>
        <v>391705599.21787131</v>
      </c>
      <c r="L21" s="496">
        <f>+'Estados Finan + Estrategia'!O54</f>
        <v>416474123.52041531</v>
      </c>
      <c r="M21" s="489"/>
      <c r="N21" s="489"/>
    </row>
    <row r="22" spans="1:15" ht="20.399999999999999">
      <c r="A22" s="977" t="s">
        <v>393</v>
      </c>
      <c r="B22" s="977"/>
      <c r="C22" s="496">
        <v>3622224</v>
      </c>
      <c r="D22" s="496">
        <v>3315922</v>
      </c>
      <c r="E22" s="496">
        <f>+'Cifras Historicas'!H76+'Cifras Historicas'!H74</f>
        <v>9792000</v>
      </c>
      <c r="F22" s="496">
        <f>+'Cifras Historicas'!I76+'Cifras Historicas'!I74</f>
        <v>-41215000</v>
      </c>
      <c r="G22" s="496">
        <f>+'Cifras Historicas'!J76+'Cifras Historicas'!J74</f>
        <v>-131556331</v>
      </c>
      <c r="H22" s="496">
        <f>+'Estados Finan + Estrategia'!K98+'Estados Finan + Estrategia'!K97+'Estados Finan + Estrategia'!K94</f>
        <v>4281716.4734983696</v>
      </c>
      <c r="I22" s="496">
        <f>+'Estados Finan + Estrategia'!L98+'Estados Finan + Estrategia'!L97+'Estados Finan + Estrategia'!L94</f>
        <v>51844447.276636422</v>
      </c>
      <c r="J22" s="496">
        <f>+'Estados Finan + Estrategia'!M98+'Estados Finan + Estrategia'!M97+'Estados Finan + Estrategia'!M94</f>
        <v>51832782.27599927</v>
      </c>
      <c r="K22" s="496">
        <f>+'Estados Finan + Estrategia'!N98+'Estados Finan + Estrategia'!N97+'Estados Finan + Estrategia'!N94</f>
        <v>53387558.413150184</v>
      </c>
      <c r="L22" s="496">
        <f>+'Estados Finan + Estrategia'!O98+'Estados Finan + Estrategia'!O97+'Estados Finan + Estrategia'!O94</f>
        <v>56763387.200509652</v>
      </c>
    </row>
    <row r="23" spans="1:15" ht="20.399999999999999">
      <c r="A23" s="977" t="s">
        <v>394</v>
      </c>
      <c r="B23" s="977"/>
      <c r="C23" s="496">
        <v>1756747</v>
      </c>
      <c r="D23" s="496">
        <v>1560477</v>
      </c>
      <c r="E23" s="496">
        <f>+'Cifras Historicas'!H76</f>
        <v>9519000</v>
      </c>
      <c r="F23" s="496">
        <f>+'Cifras Historicas'!I76</f>
        <v>-55097000</v>
      </c>
      <c r="G23" s="496">
        <f>+'Cifras Historicas'!J76</f>
        <v>-172131985</v>
      </c>
      <c r="H23" s="496">
        <f>+'Estados Finan + Estrategia'!K96</f>
        <v>4281716.4734983696</v>
      </c>
      <c r="I23" s="496">
        <f>+'Estados Finan + Estrategia'!L96</f>
        <v>51844447.276636429</v>
      </c>
      <c r="J23" s="496">
        <f>+'Estados Finan + Estrategia'!M96</f>
        <v>51832782.27599927</v>
      </c>
      <c r="K23" s="496">
        <f>+'Estados Finan + Estrategia'!N96</f>
        <v>53387558.413150184</v>
      </c>
      <c r="L23" s="496">
        <f>+'Estados Finan + Estrategia'!O96</f>
        <v>56763387.200509652</v>
      </c>
      <c r="N23" s="492" t="s">
        <v>379</v>
      </c>
      <c r="O23" s="498" t="s">
        <v>396</v>
      </c>
    </row>
    <row r="24" spans="1:15" ht="20.399999999999999">
      <c r="A24" s="977" t="s">
        <v>395</v>
      </c>
      <c r="B24" s="977"/>
      <c r="C24" s="496">
        <v>93711171</v>
      </c>
      <c r="D24" s="496">
        <v>87321721</v>
      </c>
      <c r="E24" s="496">
        <f>+'Cifras Historicas'!H39</f>
        <v>142913000</v>
      </c>
      <c r="F24" s="496">
        <f>+'Cifras Historicas'!I39</f>
        <v>186724000</v>
      </c>
      <c r="G24" s="496">
        <f>+'Cifras Historicas'!J39</f>
        <v>252150499</v>
      </c>
      <c r="H24" s="496">
        <f>+'Estados Finan + Estrategia'!K62</f>
        <v>247031843.87029999</v>
      </c>
      <c r="I24" s="496">
        <f>+'Estados Finan + Estrategia'!L62</f>
        <v>243236446.62107667</v>
      </c>
      <c r="J24" s="496">
        <f>+'Estados Finan + Estrategia'!M62</f>
        <v>243181718.42058688</v>
      </c>
      <c r="K24" s="496">
        <f>+'Estados Finan + Estrategia'!N62</f>
        <v>250476197.24633083</v>
      </c>
      <c r="L24" s="496">
        <f>+'Estados Finan + Estrategia'!O62</f>
        <v>266314433.3887094</v>
      </c>
      <c r="N24" s="134" t="s">
        <v>397</v>
      </c>
      <c r="O24" s="96">
        <v>1.03</v>
      </c>
    </row>
    <row r="25" spans="1:15" ht="20.399999999999999">
      <c r="A25" s="977" t="s">
        <v>29</v>
      </c>
      <c r="B25" s="977"/>
      <c r="C25" s="496">
        <v>91857903</v>
      </c>
      <c r="D25" s="496">
        <v>122346871</v>
      </c>
      <c r="E25" s="496">
        <f>+'Cifras Historicas'!H65</f>
        <v>217892000</v>
      </c>
      <c r="F25" s="496">
        <f>+'Cifras Historicas'!I65</f>
        <v>1273888000</v>
      </c>
      <c r="G25" s="496">
        <f>+'Cifras Historicas'!J65</f>
        <v>1515597985</v>
      </c>
      <c r="H25" s="496">
        <f>+'Estados Finan + Estrategia'!K85</f>
        <v>1484831345.9045</v>
      </c>
      <c r="I25" s="496">
        <f>+'Estados Finan + Estrategia'!L85</f>
        <v>1462018397.1060231</v>
      </c>
      <c r="J25" s="496">
        <f>+'Estados Finan + Estrategia'!M85</f>
        <v>1461689442.9666741</v>
      </c>
      <c r="K25" s="496">
        <f>+'Estados Finan + Estrategia'!N85</f>
        <v>1505534279.4979026</v>
      </c>
      <c r="L25" s="496">
        <f>+'Estados Finan + Estrategia'!O85</f>
        <v>1600732975.8262534</v>
      </c>
      <c r="N25" s="134" t="s">
        <v>398</v>
      </c>
      <c r="O25" s="96">
        <v>3.07</v>
      </c>
    </row>
    <row r="26" spans="1:15" ht="15.6">
      <c r="A26" s="497"/>
      <c r="B26" s="497"/>
      <c r="C26" s="497"/>
      <c r="D26" s="497"/>
      <c r="E26" s="497"/>
      <c r="F26" s="497"/>
      <c r="G26" s="497"/>
      <c r="H26" s="497"/>
      <c r="I26" s="497"/>
      <c r="J26" s="497"/>
      <c r="K26" s="497"/>
      <c r="L26" s="497"/>
      <c r="N26" s="134" t="s">
        <v>399</v>
      </c>
      <c r="O26" s="96">
        <v>0.66</v>
      </c>
    </row>
    <row r="27" spans="1:15" ht="18">
      <c r="A27" s="993" t="s">
        <v>397</v>
      </c>
      <c r="B27" s="994"/>
      <c r="C27" s="499">
        <f t="shared" ref="C27:L27" si="0">(C20/C21)*$O$24</f>
        <v>-0.28063217381119698</v>
      </c>
      <c r="D27" s="499">
        <f t="shared" si="0"/>
        <v>-0.15253454991080936</v>
      </c>
      <c r="E27" s="499">
        <f t="shared" si="0"/>
        <v>7.4235001062498522E-3</v>
      </c>
      <c r="F27" s="499">
        <f t="shared" si="0"/>
        <v>0.22999283941545637</v>
      </c>
      <c r="G27" s="499">
        <f t="shared" si="0"/>
        <v>5.2565456190024944E-2</v>
      </c>
      <c r="H27" s="499">
        <f t="shared" si="0"/>
        <v>3.6917701836836042E-2</v>
      </c>
      <c r="I27" s="499">
        <f t="shared" si="0"/>
        <v>3.6917701836836056E-2</v>
      </c>
      <c r="J27" s="499">
        <f t="shared" si="0"/>
        <v>3.6917701836836091E-2</v>
      </c>
      <c r="K27" s="499">
        <f t="shared" si="0"/>
        <v>3.6917701836836118E-2</v>
      </c>
      <c r="L27" s="499">
        <f t="shared" si="0"/>
        <v>3.6917701836836153E-2</v>
      </c>
      <c r="N27" s="134" t="s">
        <v>400</v>
      </c>
      <c r="O27" s="96">
        <v>0.4</v>
      </c>
    </row>
    <row r="28" spans="1:15" ht="18">
      <c r="A28" s="993" t="s">
        <v>398</v>
      </c>
      <c r="B28" s="994"/>
      <c r="C28" s="499">
        <f t="shared" ref="C28:L28" si="1">(C22/C21)*$O$25</f>
        <v>8.1708871373765452E-2</v>
      </c>
      <c r="D28" s="499">
        <f t="shared" si="1"/>
        <v>0.10519397894012494</v>
      </c>
      <c r="E28" s="499">
        <f t="shared" si="1"/>
        <v>0.17744575354756451</v>
      </c>
      <c r="F28" s="499">
        <f t="shared" si="1"/>
        <v>-0.47436079598707342</v>
      </c>
      <c r="G28" s="499">
        <f t="shared" si="1"/>
        <v>-1.4583533305296321</v>
      </c>
      <c r="H28" s="499">
        <f t="shared" si="1"/>
        <v>3.4025931460364416E-2</v>
      </c>
      <c r="I28" s="499">
        <f t="shared" si="1"/>
        <v>0.41842599303056588</v>
      </c>
      <c r="J28" s="499">
        <f t="shared" si="1"/>
        <v>0.41842599303056671</v>
      </c>
      <c r="K28" s="499">
        <f t="shared" si="1"/>
        <v>0.41842599303056688</v>
      </c>
      <c r="L28" s="499">
        <f t="shared" si="1"/>
        <v>0.41842599303056666</v>
      </c>
    </row>
    <row r="29" spans="1:15" ht="18">
      <c r="A29" s="993" t="s">
        <v>399</v>
      </c>
      <c r="B29" s="994"/>
      <c r="C29" s="499">
        <f t="shared" ref="C29:L29" si="2">(C23/C24)*$O$26</f>
        <v>1.2372623323637692E-2</v>
      </c>
      <c r="D29" s="499">
        <f t="shared" si="2"/>
        <v>1.1794486047749794E-2</v>
      </c>
      <c r="E29" s="499">
        <f t="shared" si="2"/>
        <v>4.3960591408759173E-2</v>
      </c>
      <c r="F29" s="499">
        <f t="shared" si="2"/>
        <v>-0.19474743471647996</v>
      </c>
      <c r="G29" s="499">
        <f t="shared" si="2"/>
        <v>-0.45055278712734181</v>
      </c>
      <c r="H29" s="499">
        <f t="shared" si="2"/>
        <v>1.1439548959496223E-2</v>
      </c>
      <c r="I29" s="499">
        <f t="shared" si="2"/>
        <v>0.14067519764373618</v>
      </c>
      <c r="J29" s="499">
        <f t="shared" si="2"/>
        <v>0.14067519764373643</v>
      </c>
      <c r="K29" s="499">
        <f t="shared" si="2"/>
        <v>0.14067519764373654</v>
      </c>
      <c r="L29" s="499">
        <f t="shared" si="2"/>
        <v>0.14067519764373643</v>
      </c>
    </row>
    <row r="30" spans="1:15" ht="18">
      <c r="A30" s="993" t="s">
        <v>400</v>
      </c>
      <c r="B30" s="994"/>
      <c r="C30" s="499">
        <f t="shared" ref="C30:L30" si="3">(C25/C21)*$O$27</f>
        <v>0.26998028446449313</v>
      </c>
      <c r="D30" s="499">
        <f t="shared" si="3"/>
        <v>0.50570943817241243</v>
      </c>
      <c r="E30" s="499">
        <f t="shared" si="3"/>
        <v>0.51446650768540603</v>
      </c>
      <c r="F30" s="499">
        <f t="shared" si="3"/>
        <v>1.9103209891354063</v>
      </c>
      <c r="G30" s="499">
        <f t="shared" si="3"/>
        <v>2.1890548318919816</v>
      </c>
      <c r="H30" s="499">
        <f t="shared" si="3"/>
        <v>1.5374141013087808</v>
      </c>
      <c r="I30" s="499">
        <f t="shared" si="3"/>
        <v>1.5374141013087808</v>
      </c>
      <c r="J30" s="499">
        <f t="shared" si="3"/>
        <v>1.537414101308781</v>
      </c>
      <c r="K30" s="499">
        <f t="shared" si="3"/>
        <v>1.5374141013087808</v>
      </c>
      <c r="L30" s="499">
        <f t="shared" si="3"/>
        <v>1.5374141013087808</v>
      </c>
    </row>
    <row r="32" spans="1:15" ht="18">
      <c r="C32" s="500">
        <f>SUM(C27:C30)</f>
        <v>8.3429605350699293E-2</v>
      </c>
      <c r="D32" s="500">
        <f t="shared" ref="D32:L32" si="4">SUM(D27:D30)</f>
        <v>0.47016335324947778</v>
      </c>
      <c r="E32" s="500">
        <f t="shared" si="4"/>
        <v>0.74329635274797956</v>
      </c>
      <c r="F32" s="500">
        <f t="shared" si="4"/>
        <v>1.4712055978473093</v>
      </c>
      <c r="G32" s="500">
        <f t="shared" si="4"/>
        <v>0.33271417042503248</v>
      </c>
      <c r="H32" s="500">
        <f t="shared" si="4"/>
        <v>1.6197972835654775</v>
      </c>
      <c r="I32" s="500">
        <f t="shared" si="4"/>
        <v>2.1334329938199188</v>
      </c>
      <c r="J32" s="500">
        <f t="shared" si="4"/>
        <v>2.1334329938199201</v>
      </c>
      <c r="K32" s="500">
        <f t="shared" si="4"/>
        <v>2.1334329938199206</v>
      </c>
      <c r="L32" s="500">
        <f t="shared" si="4"/>
        <v>2.1334329938199197</v>
      </c>
    </row>
    <row r="33" spans="1:12">
      <c r="C33" s="501" t="str">
        <f>IF(C32&lt;$A$34,"Riesgo de insolvencia","Situación normal")</f>
        <v>Riesgo de insolvencia</v>
      </c>
      <c r="D33" s="501" t="str">
        <f t="shared" ref="D33:L33" si="5">IF(D32&lt;$A$34,"Riesgo de insolvencia","Situación normal")</f>
        <v>Riesgo de insolvencia</v>
      </c>
      <c r="E33" s="501" t="str">
        <f t="shared" si="5"/>
        <v>Riesgo de insolvencia</v>
      </c>
      <c r="F33" s="501" t="str">
        <f t="shared" si="5"/>
        <v>Situación normal</v>
      </c>
      <c r="G33" s="501" t="str">
        <f t="shared" si="5"/>
        <v>Riesgo de insolvencia</v>
      </c>
      <c r="H33" s="501" t="str">
        <f t="shared" si="5"/>
        <v>Situación normal</v>
      </c>
      <c r="I33" s="501" t="str">
        <f t="shared" si="5"/>
        <v>Situación normal</v>
      </c>
      <c r="J33" s="501" t="str">
        <f t="shared" si="5"/>
        <v>Situación normal</v>
      </c>
      <c r="K33" s="501" t="str">
        <f t="shared" si="5"/>
        <v>Situación normal</v>
      </c>
      <c r="L33" s="501" t="str">
        <f t="shared" si="5"/>
        <v>Situación normal</v>
      </c>
    </row>
    <row r="34" spans="1:12" ht="15.6">
      <c r="A34" s="502">
        <v>0.86199999999999999</v>
      </c>
      <c r="B34" s="503" t="s">
        <v>401</v>
      </c>
      <c r="C34" s="504"/>
      <c r="D34" s="504"/>
      <c r="E34" s="504"/>
      <c r="F34" s="504"/>
      <c r="G34" s="504"/>
      <c r="H34" s="504"/>
    </row>
    <row r="37" spans="1:12">
      <c r="C37" s="504">
        <f>A34</f>
        <v>0.86199999999999999</v>
      </c>
      <c r="D37" s="504">
        <f>C37</f>
        <v>0.86199999999999999</v>
      </c>
      <c r="E37" s="504">
        <f t="shared" ref="E37:L37" si="6">D37</f>
        <v>0.86199999999999999</v>
      </c>
      <c r="F37" s="504">
        <f t="shared" si="6"/>
        <v>0.86199999999999999</v>
      </c>
      <c r="G37" s="504">
        <f t="shared" si="6"/>
        <v>0.86199999999999999</v>
      </c>
      <c r="H37" s="504">
        <f t="shared" si="6"/>
        <v>0.86199999999999999</v>
      </c>
      <c r="I37" s="504">
        <f t="shared" si="6"/>
        <v>0.86199999999999999</v>
      </c>
      <c r="J37" s="504">
        <f t="shared" si="6"/>
        <v>0.86199999999999999</v>
      </c>
      <c r="K37" s="504">
        <f t="shared" si="6"/>
        <v>0.86199999999999999</v>
      </c>
      <c r="L37" s="504">
        <f t="shared" si="6"/>
        <v>0.86199999999999999</v>
      </c>
    </row>
    <row r="38" spans="1:12">
      <c r="C38" s="504">
        <f>C32</f>
        <v>8.3429605350699293E-2</v>
      </c>
      <c r="D38" s="504">
        <f t="shared" ref="D38:L38" si="7">D32</f>
        <v>0.47016335324947778</v>
      </c>
      <c r="E38" s="504">
        <f t="shared" si="7"/>
        <v>0.74329635274797956</v>
      </c>
      <c r="F38" s="504">
        <f t="shared" si="7"/>
        <v>1.4712055978473093</v>
      </c>
      <c r="G38" s="504">
        <f t="shared" si="7"/>
        <v>0.33271417042503248</v>
      </c>
      <c r="H38" s="504">
        <f t="shared" si="7"/>
        <v>1.6197972835654775</v>
      </c>
      <c r="I38" s="504">
        <f t="shared" si="7"/>
        <v>2.1334329938199188</v>
      </c>
      <c r="J38" s="504">
        <f t="shared" si="7"/>
        <v>2.1334329938199201</v>
      </c>
      <c r="K38" s="504">
        <f t="shared" si="7"/>
        <v>2.1334329938199206</v>
      </c>
      <c r="L38" s="504">
        <f t="shared" si="7"/>
        <v>2.1334329938199197</v>
      </c>
    </row>
  </sheetData>
  <mergeCells count="22">
    <mergeCell ref="A29:B29"/>
    <mergeCell ref="A30:B30"/>
    <mergeCell ref="A22:B22"/>
    <mergeCell ref="A23:B23"/>
    <mergeCell ref="A24:B24"/>
    <mergeCell ref="A25:B25"/>
    <mergeCell ref="A27:B27"/>
    <mergeCell ref="A28:B28"/>
    <mergeCell ref="A7:E7"/>
    <mergeCell ref="F7:K7"/>
    <mergeCell ref="A8:E8"/>
    <mergeCell ref="F8:K8"/>
    <mergeCell ref="A10:E10"/>
    <mergeCell ref="F10:K10"/>
    <mergeCell ref="L8:M8"/>
    <mergeCell ref="A9:E9"/>
    <mergeCell ref="F9:K9"/>
    <mergeCell ref="L9:M9"/>
    <mergeCell ref="A21:B21"/>
    <mergeCell ref="L10:M10"/>
    <mergeCell ref="A19:B19"/>
    <mergeCell ref="A20:B20"/>
  </mergeCells>
  <conditionalFormatting sqref="C33:G33">
    <cfRule type="cellIs" dxfId="14" priority="11" operator="equal">
      <formula>"Situación Normal"</formula>
    </cfRule>
    <cfRule type="cellIs" dxfId="13" priority="12" operator="equal">
      <formula>"Riesgo de Insolvencia"</formula>
    </cfRule>
  </conditionalFormatting>
  <conditionalFormatting sqref="H33">
    <cfRule type="cellIs" dxfId="12" priority="9" operator="equal">
      <formula>"Situación Normal"</formula>
    </cfRule>
    <cfRule type="cellIs" dxfId="11" priority="10" operator="equal">
      <formula>"Riesgo de Insolvencia"</formula>
    </cfRule>
  </conditionalFormatting>
  <conditionalFormatting sqref="I33">
    <cfRule type="cellIs" dxfId="10" priority="7" operator="equal">
      <formula>"Situación Normal"</formula>
    </cfRule>
    <cfRule type="cellIs" dxfId="9" priority="8" operator="equal">
      <formula>"Riesgo de Insolvencia"</formula>
    </cfRule>
  </conditionalFormatting>
  <conditionalFormatting sqref="J33">
    <cfRule type="cellIs" dxfId="8" priority="5" operator="equal">
      <formula>"Situación Normal"</formula>
    </cfRule>
    <cfRule type="cellIs" dxfId="7" priority="6" operator="equal">
      <formula>"Riesgo de Insolvencia"</formula>
    </cfRule>
  </conditionalFormatting>
  <conditionalFormatting sqref="K33">
    <cfRule type="cellIs" dxfId="6" priority="3" operator="equal">
      <formula>"Situación Normal"</formula>
    </cfRule>
    <cfRule type="cellIs" dxfId="5" priority="4" operator="equal">
      <formula>"Riesgo de Insolvencia"</formula>
    </cfRule>
  </conditionalFormatting>
  <conditionalFormatting sqref="L33">
    <cfRule type="cellIs" dxfId="4" priority="1" operator="equal">
      <formula>"Situación Normal"</formula>
    </cfRule>
    <cfRule type="cellIs" dxfId="3" priority="2" operator="equal">
      <formula>"Riesgo de Insolvencia"</formula>
    </cfRule>
  </conditionalFormatting>
  <pageMargins left="0.7" right="0.7" top="0.75" bottom="0.75" header="0.3" footer="0.3"/>
  <pageSetup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284A-77C1-4626-BEED-4FE6DEC1AF25}">
  <dimension ref="A3:Q31"/>
  <sheetViews>
    <sheetView tabSelected="1" topLeftCell="A10" zoomScale="70" zoomScaleNormal="70" workbookViewId="0">
      <selection activeCell="G31" sqref="G31"/>
    </sheetView>
  </sheetViews>
  <sheetFormatPr baseColWidth="10" defaultColWidth="11.44140625" defaultRowHeight="14.4"/>
  <cols>
    <col min="1" max="1" width="27.109375" style="1" customWidth="1"/>
    <col min="2" max="2" width="16.88671875" style="1" customWidth="1"/>
    <col min="3" max="5" width="16.5546875" style="1" customWidth="1"/>
    <col min="6" max="6" width="11.44140625" style="1"/>
    <col min="7" max="7" width="42.5546875" style="1" customWidth="1"/>
    <col min="8" max="16384" width="11.44140625" style="1"/>
  </cols>
  <sheetData>
    <row r="3" spans="1:17" ht="23.4">
      <c r="A3" s="995" t="s">
        <v>410</v>
      </c>
      <c r="B3" s="995"/>
    </row>
    <row r="4" spans="1:17" ht="15" thickBot="1"/>
    <row r="5" spans="1:17" ht="26.4" thickBot="1">
      <c r="A5" s="978" t="s">
        <v>411</v>
      </c>
      <c r="B5" s="978"/>
      <c r="C5" s="996">
        <v>2017</v>
      </c>
      <c r="D5" s="996">
        <v>2018</v>
      </c>
      <c r="E5" s="996">
        <v>2019</v>
      </c>
      <c r="G5" s="997" t="s">
        <v>412</v>
      </c>
      <c r="H5" s="998"/>
      <c r="I5" s="998"/>
      <c r="J5" s="998"/>
      <c r="K5" s="998"/>
      <c r="L5" s="998"/>
      <c r="M5" s="998"/>
      <c r="N5" s="998"/>
      <c r="O5" s="998"/>
      <c r="P5" s="998"/>
      <c r="Q5" s="999"/>
    </row>
    <row r="6" spans="1:17" ht="17.399999999999999">
      <c r="A6" s="1000" t="s">
        <v>413</v>
      </c>
      <c r="B6" s="1000"/>
      <c r="C6" s="134">
        <f>+'Estados Finan + Estrategia'!H45</f>
        <v>144134000</v>
      </c>
      <c r="D6" s="134">
        <f>+'Estados Finan + Estrategia'!I45</f>
        <v>246285000</v>
      </c>
      <c r="E6" s="134">
        <f>+'Estados Finan + Estrategia'!J45</f>
        <v>266284027</v>
      </c>
      <c r="G6" s="1001" t="s">
        <v>414</v>
      </c>
      <c r="H6" s="1002"/>
      <c r="I6" s="1003" t="s">
        <v>415</v>
      </c>
      <c r="J6" s="1003"/>
      <c r="K6" s="1003"/>
      <c r="L6" s="1003"/>
      <c r="M6" s="1003"/>
      <c r="N6" s="1003"/>
      <c r="O6" s="1003"/>
      <c r="P6" s="1003"/>
      <c r="Q6" s="1004"/>
    </row>
    <row r="7" spans="1:17" ht="17.399999999999999">
      <c r="A7" s="1000" t="s">
        <v>416</v>
      </c>
      <c r="B7" s="1000"/>
      <c r="C7" s="134">
        <f>+'Estados Finan + Estrategia'!H54</f>
        <v>169412000</v>
      </c>
      <c r="D7" s="134">
        <f>+'Estados Finan + Estrategia'!I54</f>
        <v>266738000</v>
      </c>
      <c r="E7" s="134">
        <f>+'Estados Finan + Estrategia'!J54</f>
        <v>276941073</v>
      </c>
      <c r="G7" s="823" t="s">
        <v>417</v>
      </c>
      <c r="H7" s="524"/>
      <c r="I7" s="821" t="s">
        <v>418</v>
      </c>
      <c r="J7" s="821"/>
      <c r="K7" s="821"/>
      <c r="L7" s="821"/>
      <c r="M7" s="821"/>
      <c r="N7" s="821"/>
      <c r="O7" s="821"/>
      <c r="P7" s="821"/>
      <c r="Q7" s="822"/>
    </row>
    <row r="8" spans="1:17" ht="17.399999999999999">
      <c r="A8" s="1000" t="s">
        <v>419</v>
      </c>
      <c r="B8" s="1000"/>
      <c r="C8" s="134">
        <f>+'Estados Finan + Estrategia'!H69</f>
        <v>147913000</v>
      </c>
      <c r="D8" s="134">
        <f>+'Estados Finan + Estrategia'!I69</f>
        <v>206724000</v>
      </c>
      <c r="E8" s="134">
        <f>+'Estados Finan + Estrategia'!J69</f>
        <v>387150499</v>
      </c>
      <c r="G8" s="823" t="s">
        <v>420</v>
      </c>
      <c r="H8" s="524"/>
      <c r="I8" s="821" t="s">
        <v>421</v>
      </c>
      <c r="J8" s="821"/>
      <c r="K8" s="821"/>
      <c r="L8" s="821"/>
      <c r="M8" s="821"/>
      <c r="N8" s="821"/>
      <c r="O8" s="821"/>
      <c r="P8" s="821"/>
      <c r="Q8" s="822"/>
    </row>
    <row r="9" spans="1:17" ht="17.399999999999999">
      <c r="A9" s="1000" t="s">
        <v>15</v>
      </c>
      <c r="B9" s="1000"/>
      <c r="C9" s="134">
        <f>+'Estados Finan + Estrategia'!H76</f>
        <v>21499000</v>
      </c>
      <c r="D9" s="134">
        <f>+'Estados Finan + Estrategia'!I76</f>
        <v>60014000</v>
      </c>
      <c r="E9" s="134">
        <f>+'Estados Finan + Estrategia'!J76</f>
        <v>-110209426</v>
      </c>
      <c r="G9" s="823" t="s">
        <v>422</v>
      </c>
      <c r="H9" s="524"/>
      <c r="I9" s="821" t="s">
        <v>423</v>
      </c>
      <c r="J9" s="821"/>
      <c r="K9" s="821"/>
      <c r="L9" s="821"/>
      <c r="M9" s="821"/>
      <c r="N9" s="821"/>
      <c r="O9" s="821"/>
      <c r="P9" s="821"/>
      <c r="Q9" s="822"/>
    </row>
    <row r="10" spans="1:17" ht="17.399999999999999">
      <c r="A10" s="1000" t="s">
        <v>424</v>
      </c>
      <c r="B10" s="1000"/>
      <c r="C10" s="134">
        <f>+'Estados Finan + Estrategia'!H74</f>
        <v>0</v>
      </c>
      <c r="D10" s="134">
        <f>+'Estados Finan + Estrategia'!I74</f>
        <v>6199000</v>
      </c>
      <c r="E10" s="134">
        <f>+'Estados Finan + Estrategia'!J74</f>
        <v>0</v>
      </c>
      <c r="G10" s="823" t="s">
        <v>425</v>
      </c>
      <c r="H10" s="524"/>
      <c r="I10" s="821" t="s">
        <v>426</v>
      </c>
      <c r="J10" s="821"/>
      <c r="K10" s="821"/>
      <c r="L10" s="821"/>
      <c r="M10" s="821"/>
      <c r="N10" s="821"/>
      <c r="O10" s="821"/>
      <c r="P10" s="821"/>
      <c r="Q10" s="822"/>
    </row>
    <row r="11" spans="1:17" ht="17.399999999999999">
      <c r="A11" s="1000" t="s">
        <v>30</v>
      </c>
      <c r="B11" s="1000"/>
      <c r="C11" s="134">
        <f>+'Estados Finan + Estrategia'!H98+'Estados Finan + Estrategia'!H103+'Estados Finan + Estrategia'!H104+'Estados Finan + Estrategia'!H97+'Estados Finan + Estrategia'!H94</f>
        <v>10514000</v>
      </c>
      <c r="D11" s="134">
        <f>+'Estados Finan + Estrategia'!I98+'Estados Finan + Estrategia'!I103+'Estados Finan + Estrategia'!I104+'Estados Finan + Estrategia'!I97+'Estados Finan + Estrategia'!I94</f>
        <v>-29120000</v>
      </c>
      <c r="E11" s="134">
        <f>+'Estados Finan + Estrategia'!J98+'Estados Finan + Estrategia'!J103+'Estados Finan + Estrategia'!J104+'Estados Finan + Estrategia'!J97+'Estados Finan + Estrategia'!J94</f>
        <v>-119127357</v>
      </c>
      <c r="G11" s="823" t="s">
        <v>427</v>
      </c>
      <c r="H11" s="524"/>
      <c r="I11" s="821" t="s">
        <v>428</v>
      </c>
      <c r="J11" s="821"/>
      <c r="K11" s="821"/>
      <c r="L11" s="821"/>
      <c r="M11" s="821"/>
      <c r="N11" s="821"/>
      <c r="O11" s="821"/>
      <c r="P11" s="821"/>
      <c r="Q11" s="822"/>
    </row>
    <row r="12" spans="1:17" ht="18" thickBot="1">
      <c r="A12" s="1000" t="s">
        <v>29</v>
      </c>
      <c r="B12" s="1000"/>
      <c r="C12" s="134">
        <f>+'Estados Finan + Estrategia'!H85</f>
        <v>217892000</v>
      </c>
      <c r="D12" s="134">
        <f>+'Estados Finan + Estrategia'!I85</f>
        <v>1273888000</v>
      </c>
      <c r="E12" s="134">
        <f>+'Estados Finan + Estrategia'!J85</f>
        <v>1515597985</v>
      </c>
      <c r="G12" s="825" t="s">
        <v>429</v>
      </c>
      <c r="H12" s="826"/>
      <c r="I12" s="1005" t="s">
        <v>430</v>
      </c>
      <c r="J12" s="1005"/>
      <c r="K12" s="1005"/>
      <c r="L12" s="1005"/>
      <c r="M12" s="1005"/>
      <c r="N12" s="1005"/>
      <c r="O12" s="1005"/>
      <c r="P12" s="1005"/>
      <c r="Q12" s="1006"/>
    </row>
    <row r="13" spans="1:17" ht="18">
      <c r="A13" s="497"/>
      <c r="B13" s="497"/>
      <c r="C13" s="497"/>
      <c r="D13" s="497"/>
      <c r="E13" s="497"/>
      <c r="G13" s="1007" t="s">
        <v>431</v>
      </c>
      <c r="H13" s="1008" t="s">
        <v>396</v>
      </c>
      <c r="I13" s="1009"/>
      <c r="J13" s="1009"/>
      <c r="K13" s="1009"/>
    </row>
    <row r="14" spans="1:17" ht="18">
      <c r="A14" s="993" t="s">
        <v>432</v>
      </c>
      <c r="B14" s="994"/>
      <c r="C14" s="499">
        <f>+(C6/C7)*$H$14</f>
        <v>1.0209477486836824</v>
      </c>
      <c r="D14" s="499">
        <f>+(D6/D7)*$H$14</f>
        <v>1.1079861137145814</v>
      </c>
      <c r="E14" s="499">
        <f>+(E6/E7)*$H$14</f>
        <v>1.1538224682187175</v>
      </c>
      <c r="G14" s="134" t="s">
        <v>433</v>
      </c>
      <c r="H14" s="1010">
        <v>1.2</v>
      </c>
    </row>
    <row r="15" spans="1:17" ht="18">
      <c r="A15" s="993" t="s">
        <v>434</v>
      </c>
      <c r="B15" s="994"/>
      <c r="C15" s="499">
        <f>+(C10/C7)*$H$15</f>
        <v>0</v>
      </c>
      <c r="D15" s="499">
        <f>+(D10/D7)*$H$15</f>
        <v>3.2536046607532482E-2</v>
      </c>
      <c r="E15" s="499">
        <f>+(E10/E7)*$H$15</f>
        <v>0</v>
      </c>
      <c r="G15" s="134" t="s">
        <v>435</v>
      </c>
      <c r="H15" s="1010">
        <v>1.4</v>
      </c>
    </row>
    <row r="16" spans="1:17" ht="18">
      <c r="A16" s="993" t="s">
        <v>436</v>
      </c>
      <c r="B16" s="994"/>
      <c r="C16" s="499">
        <f>+(C11/C7)*$H$16</f>
        <v>0.20480367388378626</v>
      </c>
      <c r="D16" s="499">
        <f>+(D11/D7)*$H$16</f>
        <v>-0.36026362947911433</v>
      </c>
      <c r="E16" s="499">
        <f>+(E11/E7)*$H$16</f>
        <v>-1.4195087562905484</v>
      </c>
      <c r="G16" s="134" t="s">
        <v>437</v>
      </c>
      <c r="H16" s="1010">
        <v>3.3</v>
      </c>
    </row>
    <row r="17" spans="1:8" ht="18">
      <c r="A17" s="993" t="s">
        <v>438</v>
      </c>
      <c r="B17" s="994"/>
      <c r="C17" s="499">
        <f>+(C9/C8)*$H$17</f>
        <v>8.7209373077417121E-2</v>
      </c>
      <c r="D17" s="499">
        <f>+(D9/D8)*$H$17</f>
        <v>0.17418587101642768</v>
      </c>
      <c r="E17" s="499">
        <f>+(E9/E8)*$H$17</f>
        <v>-0.17080090499896267</v>
      </c>
      <c r="G17" s="134" t="s">
        <v>439</v>
      </c>
      <c r="H17" s="1010">
        <v>0.6</v>
      </c>
    </row>
    <row r="18" spans="1:8" ht="18">
      <c r="A18" s="993" t="s">
        <v>440</v>
      </c>
      <c r="B18" s="994"/>
      <c r="C18" s="499">
        <f>+(C12/C7)*$H$18</f>
        <v>1.286166269213515</v>
      </c>
      <c r="D18" s="499">
        <f>+(D12/D7)*$H$18</f>
        <v>4.7758024728385156</v>
      </c>
      <c r="E18" s="499">
        <f>+(E12/E7)*$H$18</f>
        <v>5.4726370797299539</v>
      </c>
      <c r="G18" s="134" t="s">
        <v>441</v>
      </c>
      <c r="H18" s="1010">
        <v>1</v>
      </c>
    </row>
    <row r="20" spans="1:8" ht="21">
      <c r="A20" s="1011"/>
      <c r="C20" s="500">
        <f>+SUM(C14:C18)</f>
        <v>2.5991270648584006</v>
      </c>
      <c r="D20" s="500">
        <f>+SUM(D14:D18)</f>
        <v>5.7302468746979427</v>
      </c>
      <c r="E20" s="500">
        <f>+SUM(E14:E18)</f>
        <v>5.0361498866591603</v>
      </c>
    </row>
    <row r="21" spans="1:8">
      <c r="C21" s="1012" t="str">
        <f>+LOOKUP(C20,$A$23:$A$25,$B$23:$B$25)</f>
        <v>Zona Gris</v>
      </c>
      <c r="D21" s="1012" t="str">
        <f t="shared" ref="D21:E21" si="0">+LOOKUP(D20,$A$23:$A$25,$B$23:$B$25)</f>
        <v>Situación normal</v>
      </c>
      <c r="E21" s="1012" t="str">
        <f t="shared" si="0"/>
        <v>Situación normal</v>
      </c>
    </row>
    <row r="23" spans="1:8">
      <c r="A23" s="1013">
        <v>0</v>
      </c>
      <c r="B23" s="1014" t="s">
        <v>442</v>
      </c>
    </row>
    <row r="24" spans="1:8">
      <c r="A24" s="1015">
        <v>1.81</v>
      </c>
      <c r="B24" s="1016" t="s">
        <v>443</v>
      </c>
    </row>
    <row r="25" spans="1:8">
      <c r="A25" s="1017">
        <v>2.99</v>
      </c>
      <c r="B25" s="514" t="s">
        <v>444</v>
      </c>
    </row>
    <row r="28" spans="1:8">
      <c r="C28" s="1018">
        <f>+$A$23</f>
        <v>0</v>
      </c>
      <c r="D28" s="1018">
        <f t="shared" ref="D28:E28" si="1">+$A$23</f>
        <v>0</v>
      </c>
      <c r="E28" s="1018">
        <f t="shared" si="1"/>
        <v>0</v>
      </c>
    </row>
    <row r="29" spans="1:8">
      <c r="C29" s="94">
        <f>+$A$24</f>
        <v>1.81</v>
      </c>
      <c r="D29" s="94">
        <f t="shared" ref="D29:E29" si="2">+$A$24</f>
        <v>1.81</v>
      </c>
      <c r="E29" s="94">
        <f t="shared" si="2"/>
        <v>1.81</v>
      </c>
    </row>
    <row r="30" spans="1:8">
      <c r="C30" s="94">
        <f>+$A$25</f>
        <v>2.99</v>
      </c>
      <c r="D30" s="94">
        <f t="shared" ref="D30:E30" si="3">+$A$25</f>
        <v>2.99</v>
      </c>
      <c r="E30" s="94">
        <f t="shared" si="3"/>
        <v>2.99</v>
      </c>
    </row>
    <row r="31" spans="1:8">
      <c r="C31" s="94">
        <f>+C20</f>
        <v>2.5991270648584006</v>
      </c>
      <c r="D31" s="94">
        <f t="shared" ref="D31:E31" si="4">+D20</f>
        <v>5.7302468746979427</v>
      </c>
      <c r="E31" s="94">
        <f t="shared" si="4"/>
        <v>5.0361498866591603</v>
      </c>
    </row>
  </sheetData>
  <mergeCells count="29">
    <mergeCell ref="A14:B14"/>
    <mergeCell ref="A15:B15"/>
    <mergeCell ref="A16:B16"/>
    <mergeCell ref="A17:B17"/>
    <mergeCell ref="A18:B18"/>
    <mergeCell ref="A11:B11"/>
    <mergeCell ref="G11:H11"/>
    <mergeCell ref="I11:Q11"/>
    <mergeCell ref="A12:B12"/>
    <mergeCell ref="G12:H12"/>
    <mergeCell ref="I12:Q12"/>
    <mergeCell ref="A9:B9"/>
    <mergeCell ref="G9:H9"/>
    <mergeCell ref="I9:Q9"/>
    <mergeCell ref="A10:B10"/>
    <mergeCell ref="G10:H10"/>
    <mergeCell ref="I10:Q10"/>
    <mergeCell ref="A7:B7"/>
    <mergeCell ref="G7:H7"/>
    <mergeCell ref="I7:Q7"/>
    <mergeCell ref="A8:B8"/>
    <mergeCell ref="G8:H8"/>
    <mergeCell ref="I8:Q8"/>
    <mergeCell ref="A3:B3"/>
    <mergeCell ref="A5:B5"/>
    <mergeCell ref="G5:Q5"/>
    <mergeCell ref="A6:B6"/>
    <mergeCell ref="G6:H6"/>
    <mergeCell ref="I6:Q6"/>
  </mergeCells>
  <conditionalFormatting sqref="C21:E21">
    <cfRule type="cellIs" dxfId="2" priority="1" operator="equal">
      <formula>$B$25</formula>
    </cfRule>
    <cfRule type="cellIs" dxfId="1" priority="2" operator="equal">
      <formula>$B$24</formula>
    </cfRule>
    <cfRule type="cellIs" dxfId="0" priority="3" operator="equal">
      <formula>$B$23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B5B32307EDFE48AD15B426AB537D24" ma:contentTypeVersion="11" ma:contentTypeDescription="Crear nuevo documento." ma:contentTypeScope="" ma:versionID="52c7f0442a6c2a9511416a4dc69185f5">
  <xsd:schema xmlns:xsd="http://www.w3.org/2001/XMLSchema" xmlns:xs="http://www.w3.org/2001/XMLSchema" xmlns:p="http://schemas.microsoft.com/office/2006/metadata/properties" xmlns:ns3="80e42bf9-a904-45d9-9e2a-ea4471492b24" xmlns:ns4="5de40c2b-e145-4d5c-8756-4cabd5724d9a" targetNamespace="http://schemas.microsoft.com/office/2006/metadata/properties" ma:root="true" ma:fieldsID="d40d863a3cc8b17d5b176cbdf70988c8" ns3:_="" ns4:_="">
    <xsd:import namespace="80e42bf9-a904-45d9-9e2a-ea4471492b24"/>
    <xsd:import namespace="5de40c2b-e145-4d5c-8756-4cabd5724d9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e42bf9-a904-45d9-9e2a-ea4471492b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e40c2b-e145-4d5c-8756-4cabd5724d9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333356-22D0-4F84-B10C-A10DF1C25A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B8928A-ECF3-46BE-8C01-7FBDBF5F2AB0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80e42bf9-a904-45d9-9e2a-ea4471492b24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5de40c2b-e145-4d5c-8756-4cabd5724d9a"/>
  </ds:schemaRefs>
</ds:datastoreItem>
</file>

<file path=customXml/itemProps3.xml><?xml version="1.0" encoding="utf-8"?>
<ds:datastoreItem xmlns:ds="http://schemas.openxmlformats.org/officeDocument/2006/customXml" ds:itemID="{B2FD71A0-1066-4005-9CF0-C8C1D6E43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e42bf9-a904-45d9-9e2a-ea4471492b24"/>
    <ds:schemaRef ds:uri="5de40c2b-e145-4d5c-8756-4cabd5724d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Cifras Historicas</vt:lpstr>
      <vt:lpstr>Analisis Financiero</vt:lpstr>
      <vt:lpstr>Valoración Sin Estrategia</vt:lpstr>
      <vt:lpstr>Estrategias Operativas</vt:lpstr>
      <vt:lpstr>Estados Finan + Estrategia</vt:lpstr>
      <vt:lpstr>Valoración + Estrategia</vt:lpstr>
      <vt:lpstr>Springate</vt:lpstr>
      <vt:lpstr>Indicador Altman Manufactura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Ferrin</dc:creator>
  <cp:lastModifiedBy>Andrea Carolina Soto Morera</cp:lastModifiedBy>
  <cp:lastPrinted>2020-11-07T13:53:44Z</cp:lastPrinted>
  <dcterms:created xsi:type="dcterms:W3CDTF">2017-10-24T00:08:46Z</dcterms:created>
  <dcterms:modified xsi:type="dcterms:W3CDTF">2021-04-16T13:17:30Z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0x0101004AB5B32307EDFE48AD15B426AB537D24</vt:lpwstr>
  </property>
</Properties>
</file>