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EDWIN\Desktop\DEF - ¡SI SE PUEDE!\"/>
    </mc:Choice>
  </mc:AlternateContent>
  <bookViews>
    <workbookView xWindow="0" yWindow="0" windowWidth="24000" windowHeight="9735" tabRatio="864"/>
  </bookViews>
  <sheets>
    <sheet name=" Ingresos y Datos de Entrada" sheetId="1" r:id="rId1"/>
    <sheet name="Costos y Gastos" sheetId="3" r:id="rId2"/>
    <sheet name="Activo Fijo y Depreciación" sheetId="6" r:id="rId3"/>
    <sheet name="Estados Financieros" sheetId="2" r:id="rId4"/>
    <sheet name="Flujo de Caja Libre" sheetId="4" r:id="rId5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2" i="1" l="1"/>
  <c r="G17" i="3" l="1"/>
  <c r="H17" i="3"/>
  <c r="I17" i="3" s="1"/>
  <c r="F17" i="3"/>
  <c r="G16" i="3"/>
  <c r="H16" i="3"/>
  <c r="I16" i="3" s="1"/>
  <c r="F16" i="3"/>
  <c r="N8" i="1" l="1"/>
  <c r="I19" i="1"/>
  <c r="L9" i="1" s="1"/>
  <c r="M8" i="1" l="1"/>
  <c r="W12" i="1" s="1"/>
  <c r="C10" i="2"/>
  <c r="G5" i="1" l="1"/>
  <c r="D9" i="4" l="1"/>
  <c r="E45" i="2" l="1"/>
  <c r="F45" i="2"/>
  <c r="G45" i="2"/>
  <c r="H45" i="2"/>
  <c r="F25" i="2"/>
  <c r="C22" i="4"/>
  <c r="H25" i="2"/>
  <c r="G25" i="2"/>
  <c r="E25" i="2"/>
  <c r="D25" i="2"/>
  <c r="C25" i="2"/>
  <c r="C24" i="4" l="1"/>
  <c r="H17" i="4"/>
  <c r="G17" i="4"/>
  <c r="F17" i="4"/>
  <c r="E17" i="4"/>
  <c r="D17" i="4"/>
  <c r="C17" i="4"/>
  <c r="C36" i="4" s="1"/>
  <c r="D22" i="2"/>
  <c r="C22" i="2"/>
  <c r="D26" i="2"/>
  <c r="H14" i="2"/>
  <c r="G14" i="2"/>
  <c r="F14" i="2"/>
  <c r="E14" i="2"/>
  <c r="D14" i="2"/>
  <c r="D23" i="4" l="1"/>
  <c r="C26" i="4"/>
  <c r="U4" i="4" s="1"/>
  <c r="F35" i="3"/>
  <c r="E8" i="3"/>
  <c r="E37" i="3" l="1"/>
  <c r="E33" i="3"/>
  <c r="F33" i="3"/>
  <c r="C9" i="4"/>
  <c r="C14" i="2"/>
  <c r="X14" i="1" l="1"/>
  <c r="W17" i="1"/>
  <c r="E15" i="1"/>
  <c r="V19" i="1"/>
  <c r="V21" i="1" s="1"/>
  <c r="W13" i="1" l="1"/>
  <c r="W15" i="1"/>
  <c r="W16" i="1"/>
  <c r="W14" i="1"/>
  <c r="W18" i="1"/>
  <c r="X12" i="1"/>
  <c r="X17" i="1"/>
  <c r="X15" i="1"/>
  <c r="X13" i="1"/>
  <c r="X18" i="1"/>
  <c r="X16" i="1"/>
  <c r="W19" i="1" l="1"/>
  <c r="W21" i="1" s="1"/>
  <c r="X19" i="1"/>
  <c r="X21" i="1" s="1"/>
  <c r="P8" i="1" l="1"/>
  <c r="O8" i="1"/>
  <c r="Z18" i="1" l="1"/>
  <c r="Z12" i="1"/>
  <c r="Y13" i="1"/>
  <c r="Y15" i="1"/>
  <c r="Y17" i="1"/>
  <c r="Y12" i="1"/>
  <c r="Y14" i="1"/>
  <c r="Y16" i="1"/>
  <c r="Y18" i="1"/>
  <c r="Z14" i="1"/>
  <c r="Z16" i="1"/>
  <c r="Z13" i="1"/>
  <c r="Z15" i="1"/>
  <c r="Z17" i="1"/>
  <c r="E6" i="3"/>
  <c r="E39" i="3"/>
  <c r="P9" i="1"/>
  <c r="C16" i="2"/>
  <c r="Z19" i="1" l="1"/>
  <c r="Z21" i="1" s="1"/>
  <c r="Y19" i="1"/>
  <c r="Y21" i="1" s="1"/>
  <c r="M9" i="1"/>
  <c r="O9" i="1"/>
  <c r="N9" i="1"/>
  <c r="I7" i="3"/>
  <c r="G7" i="3"/>
  <c r="E21" i="3"/>
  <c r="E20" i="3"/>
  <c r="G17" i="1"/>
  <c r="C42" i="2"/>
  <c r="L17" i="1" l="1"/>
  <c r="P17" i="1"/>
  <c r="M17" i="1"/>
  <c r="O17" i="1"/>
  <c r="N17" i="1"/>
  <c r="C11" i="2" l="1"/>
  <c r="C18" i="2" s="1"/>
  <c r="C28" i="2"/>
  <c r="C30" i="2" s="1"/>
  <c r="I19" i="6"/>
  <c r="F19" i="6"/>
  <c r="G19" i="6"/>
  <c r="H19" i="6"/>
  <c r="E19" i="6"/>
  <c r="D11" i="6"/>
  <c r="F11" i="6"/>
  <c r="G11" i="6"/>
  <c r="H11" i="6"/>
  <c r="I11" i="6"/>
  <c r="E11" i="6"/>
  <c r="E42" i="3"/>
  <c r="F8" i="3"/>
  <c r="G8" i="3" s="1"/>
  <c r="F6" i="3"/>
  <c r="G6" i="3" s="1"/>
  <c r="H6" i="3" s="1"/>
  <c r="I6" i="3" s="1"/>
  <c r="G12" i="1"/>
  <c r="M12" i="1" s="1"/>
  <c r="E22" i="3" l="1"/>
  <c r="G35" i="3" l="1"/>
  <c r="F39" i="3"/>
  <c r="F37" i="3"/>
  <c r="G33" i="3"/>
  <c r="D45" i="2"/>
  <c r="E18" i="6"/>
  <c r="D18" i="6"/>
  <c r="H8" i="3"/>
  <c r="I8" i="3" s="1"/>
  <c r="F20" i="3"/>
  <c r="F21" i="3"/>
  <c r="G21" i="3" s="1"/>
  <c r="H21" i="3" s="1"/>
  <c r="I21" i="3" s="1"/>
  <c r="E18" i="3"/>
  <c r="G13" i="1"/>
  <c r="G14" i="1"/>
  <c r="G16" i="1"/>
  <c r="G18" i="1"/>
  <c r="G19" i="1"/>
  <c r="P19" i="1" s="1"/>
  <c r="G20" i="1"/>
  <c r="G15" i="1"/>
  <c r="C46" i="2"/>
  <c r="G37" i="3" l="1"/>
  <c r="G39" i="3"/>
  <c r="H39" i="3" s="1"/>
  <c r="I39" i="3" s="1"/>
  <c r="D43" i="2"/>
  <c r="H35" i="3"/>
  <c r="N18" i="1"/>
  <c r="P18" i="1"/>
  <c r="O14" i="1"/>
  <c r="P14" i="1"/>
  <c r="N15" i="1"/>
  <c r="P15" i="1"/>
  <c r="O16" i="1"/>
  <c r="P16" i="1"/>
  <c r="N13" i="1"/>
  <c r="P13" i="1"/>
  <c r="O19" i="1"/>
  <c r="N19" i="1"/>
  <c r="G20" i="3"/>
  <c r="H33" i="3"/>
  <c r="F42" i="3"/>
  <c r="C32" i="2"/>
  <c r="E20" i="6"/>
  <c r="C48" i="2"/>
  <c r="L16" i="1"/>
  <c r="L19" i="1"/>
  <c r="L14" i="1"/>
  <c r="M18" i="1"/>
  <c r="M15" i="1"/>
  <c r="M13" i="1"/>
  <c r="O18" i="1"/>
  <c r="O15" i="1"/>
  <c r="O13" i="1"/>
  <c r="N16" i="1"/>
  <c r="N14" i="1"/>
  <c r="N12" i="1"/>
  <c r="L18" i="1"/>
  <c r="L15" i="1"/>
  <c r="L13" i="1"/>
  <c r="M19" i="1"/>
  <c r="M16" i="1"/>
  <c r="M14" i="1"/>
  <c r="P12" i="1"/>
  <c r="O12" i="1"/>
  <c r="E11" i="3"/>
  <c r="F11" i="3"/>
  <c r="G18" i="3"/>
  <c r="F18" i="3"/>
  <c r="G11" i="3"/>
  <c r="H18" i="3"/>
  <c r="G43" i="2" l="1"/>
  <c r="E43" i="2"/>
  <c r="F43" i="2"/>
  <c r="F41" i="2"/>
  <c r="E41" i="2"/>
  <c r="G42" i="3"/>
  <c r="I35" i="3"/>
  <c r="H37" i="3"/>
  <c r="P22" i="1"/>
  <c r="D15" i="2"/>
  <c r="F20" i="6"/>
  <c r="E22" i="6"/>
  <c r="H20" i="3"/>
  <c r="C50" i="2"/>
  <c r="C8" i="4" s="1"/>
  <c r="C10" i="4" s="1"/>
  <c r="L22" i="1"/>
  <c r="O22" i="1"/>
  <c r="M22" i="1"/>
  <c r="N22" i="1"/>
  <c r="D41" i="2"/>
  <c r="I33" i="3"/>
  <c r="H42" i="3"/>
  <c r="G22" i="3"/>
  <c r="G23" i="3" s="1"/>
  <c r="H11" i="3"/>
  <c r="F22" i="3"/>
  <c r="I18" i="3"/>
  <c r="H43" i="2" l="1"/>
  <c r="G41" i="2"/>
  <c r="F44" i="2"/>
  <c r="F46" i="2" s="1"/>
  <c r="E40" i="2"/>
  <c r="F40" i="2"/>
  <c r="F42" i="2" s="1"/>
  <c r="G40" i="2"/>
  <c r="H40" i="2"/>
  <c r="E42" i="2"/>
  <c r="I20" i="3"/>
  <c r="E15" i="2"/>
  <c r="I37" i="3"/>
  <c r="D40" i="2"/>
  <c r="D42" i="2" s="1"/>
  <c r="G20" i="6"/>
  <c r="F22" i="6"/>
  <c r="D16" i="2"/>
  <c r="F23" i="3"/>
  <c r="E23" i="3"/>
  <c r="E25" i="3" s="1"/>
  <c r="G25" i="3"/>
  <c r="H22" i="3"/>
  <c r="H23" i="3" s="1"/>
  <c r="I11" i="3"/>
  <c r="G42" i="2" l="1"/>
  <c r="G44" i="2"/>
  <c r="G46" i="2" s="1"/>
  <c r="H41" i="2"/>
  <c r="E44" i="2"/>
  <c r="E46" i="2" s="1"/>
  <c r="F48" i="2"/>
  <c r="F8" i="4" s="1"/>
  <c r="F15" i="2"/>
  <c r="I42" i="3"/>
  <c r="F25" i="3"/>
  <c r="H20" i="6"/>
  <c r="E16" i="2"/>
  <c r="G22" i="6"/>
  <c r="D44" i="2"/>
  <c r="D46" i="2" s="1"/>
  <c r="H25" i="3"/>
  <c r="G48" i="2" l="1"/>
  <c r="G49" i="2" s="1"/>
  <c r="H11" i="4" s="1"/>
  <c r="D48" i="2"/>
  <c r="D8" i="4" s="1"/>
  <c r="E48" i="2"/>
  <c r="E8" i="4" s="1"/>
  <c r="H42" i="2"/>
  <c r="F49" i="2"/>
  <c r="F21" i="2" s="1"/>
  <c r="G15" i="2"/>
  <c r="I20" i="6"/>
  <c r="H22" i="6"/>
  <c r="F16" i="2"/>
  <c r="I22" i="3"/>
  <c r="I23" i="3" s="1"/>
  <c r="E49" i="2" l="1"/>
  <c r="F9" i="4" s="1"/>
  <c r="F10" i="4" s="1"/>
  <c r="F12" i="4" s="1"/>
  <c r="F14" i="4" s="1"/>
  <c r="G21" i="2"/>
  <c r="G22" i="2" s="1"/>
  <c r="D49" i="2"/>
  <c r="D50" i="2" s="1"/>
  <c r="G50" i="2"/>
  <c r="G27" i="2" s="1"/>
  <c r="H9" i="4"/>
  <c r="G11" i="4"/>
  <c r="G8" i="4"/>
  <c r="G9" i="4"/>
  <c r="F50" i="2"/>
  <c r="H44" i="2"/>
  <c r="H46" i="2" s="1"/>
  <c r="E21" i="2"/>
  <c r="F22" i="2"/>
  <c r="H15" i="2"/>
  <c r="H16" i="2" s="1"/>
  <c r="I22" i="6"/>
  <c r="D11" i="4"/>
  <c r="G16" i="2"/>
  <c r="I25" i="3"/>
  <c r="E50" i="2" l="1"/>
  <c r="E22" i="2"/>
  <c r="E9" i="4"/>
  <c r="E11" i="4" s="1"/>
  <c r="E27" i="2"/>
  <c r="F27" i="2"/>
  <c r="H48" i="2"/>
  <c r="H8" i="4" s="1"/>
  <c r="D27" i="2"/>
  <c r="E26" i="2" s="1"/>
  <c r="G10" i="4"/>
  <c r="G12" i="4" s="1"/>
  <c r="G14" i="4" s="1"/>
  <c r="E10" i="4"/>
  <c r="E12" i="4" s="1"/>
  <c r="E14" i="4" s="1"/>
  <c r="E22" i="4" s="1"/>
  <c r="D10" i="4"/>
  <c r="D12" i="4" s="1"/>
  <c r="D14" i="4" s="1"/>
  <c r="D28" i="2"/>
  <c r="D30" i="2" s="1"/>
  <c r="F22" i="4"/>
  <c r="F26" i="2" l="1"/>
  <c r="F28" i="2" s="1"/>
  <c r="H49" i="2"/>
  <c r="H21" i="2" s="1"/>
  <c r="H22" i="2" s="1"/>
  <c r="G26" i="2"/>
  <c r="H26" i="2" s="1"/>
  <c r="G22" i="4"/>
  <c r="D22" i="4"/>
  <c r="D24" i="4" s="1"/>
  <c r="E28" i="2"/>
  <c r="E30" i="2" s="1"/>
  <c r="H10" i="4"/>
  <c r="H12" i="4" s="1"/>
  <c r="H50" i="2" l="1"/>
  <c r="G28" i="2"/>
  <c r="H27" i="2"/>
  <c r="E23" i="4"/>
  <c r="E24" i="4" s="1"/>
  <c r="E10" i="2" s="1"/>
  <c r="D10" i="2"/>
  <c r="F23" i="4"/>
  <c r="F24" i="4" s="1"/>
  <c r="G23" i="4" s="1"/>
  <c r="D26" i="4"/>
  <c r="U5" i="4" s="1"/>
  <c r="V5" i="4" s="1"/>
  <c r="W5" i="4" s="1"/>
  <c r="F30" i="2"/>
  <c r="H14" i="4"/>
  <c r="H22" i="4" s="1"/>
  <c r="E26" i="4" l="1"/>
  <c r="F26" i="4"/>
  <c r="U7" i="4" s="1"/>
  <c r="V7" i="4" s="1"/>
  <c r="F10" i="2"/>
  <c r="D11" i="2"/>
  <c r="D18" i="2" s="1"/>
  <c r="D32" i="2" s="1"/>
  <c r="E11" i="2"/>
  <c r="E18" i="2" s="1"/>
  <c r="E32" i="2" s="1"/>
  <c r="G24" i="4"/>
  <c r="H28" i="2"/>
  <c r="H30" i="2" s="1"/>
  <c r="G30" i="2"/>
  <c r="U6" i="4" l="1"/>
  <c r="V6" i="4" s="1"/>
  <c r="W6" i="4" s="1"/>
  <c r="W7" i="4" s="1"/>
  <c r="G26" i="4"/>
  <c r="G10" i="2"/>
  <c r="G11" i="2" s="1"/>
  <c r="H23" i="4"/>
  <c r="H24" i="4" s="1"/>
  <c r="F11" i="2"/>
  <c r="F18" i="2" s="1"/>
  <c r="F32" i="2" s="1"/>
  <c r="H26" i="4" l="1"/>
  <c r="C29" i="4" s="1"/>
  <c r="H10" i="2"/>
  <c r="H11" i="2" s="1"/>
  <c r="H18" i="2" s="1"/>
  <c r="H32" i="2" s="1"/>
  <c r="U8" i="4"/>
  <c r="V8" i="4" s="1"/>
  <c r="W8" i="4" s="1"/>
  <c r="G18" i="2"/>
  <c r="G32" i="2" s="1"/>
  <c r="C28" i="4" l="1"/>
  <c r="C30" i="4" s="1"/>
  <c r="C33" i="4"/>
  <c r="C34" i="4" s="1"/>
  <c r="U9" i="4"/>
  <c r="V9" i="4" s="1"/>
  <c r="W9" i="4" s="1"/>
  <c r="C31" i="4" s="1"/>
  <c r="C35" i="4" l="1"/>
  <c r="C37" i="4" s="1"/>
</calcChain>
</file>

<file path=xl/comments1.xml><?xml version="1.0" encoding="utf-8"?>
<comments xmlns="http://schemas.openxmlformats.org/spreadsheetml/2006/main">
  <authors>
    <author>EDWIN PRIETO CLAVIJO</author>
  </authors>
  <commentList>
    <comment ref="C5" authorId="0" shapeId="0">
      <text>
        <r>
          <rPr>
            <b/>
            <sz val="9"/>
            <color indexed="81"/>
            <rFont val="Tahoma"/>
            <charset val="1"/>
          </rPr>
          <t>LISTA DESPLEGABLE PARA SELECCIONAR ESCENARIO.</t>
        </r>
      </text>
    </comment>
    <comment ref="F10" authorId="0" shapeId="0">
      <text>
        <r>
          <rPr>
            <b/>
            <sz val="9"/>
            <color indexed="81"/>
            <rFont val="Tahoma"/>
            <charset val="1"/>
          </rPr>
          <t>ESTIMACIÓN DE COBRO POR SERVICIO</t>
        </r>
      </text>
    </comment>
    <comment ref="G17" authorId="0" shapeId="0">
      <text>
        <r>
          <rPr>
            <b/>
            <sz val="9"/>
            <color indexed="81"/>
            <rFont val="Tahoma"/>
            <family val="2"/>
          </rPr>
          <t>Valor Anual recibido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9" authorId="0" shapeId="0">
      <text>
        <r>
          <rPr>
            <sz val="9"/>
            <color indexed="81"/>
            <rFont val="Tahoma"/>
            <family val="2"/>
          </rPr>
          <t xml:space="preserve">Tasa de rentabilidad después de pagar comisión de administración
</t>
        </r>
      </text>
    </comment>
  </commentList>
</comments>
</file>

<file path=xl/sharedStrings.xml><?xml version="1.0" encoding="utf-8"?>
<sst xmlns="http://schemas.openxmlformats.org/spreadsheetml/2006/main" count="135" uniqueCount="121">
  <si>
    <t xml:space="preserve">Diseño de la pagina </t>
  </si>
  <si>
    <t>Mantenimiento</t>
  </si>
  <si>
    <t>TOTAL COSTOS DE VENTAS</t>
  </si>
  <si>
    <t xml:space="preserve">Publicidad </t>
  </si>
  <si>
    <t>Gastos Administrativos</t>
  </si>
  <si>
    <t>TOTAL GASTOS FIJOS</t>
  </si>
  <si>
    <t>Comercial</t>
  </si>
  <si>
    <t>Gerencia General</t>
  </si>
  <si>
    <t>TOTAL GASTOS DE PERSONAL</t>
  </si>
  <si>
    <t xml:space="preserve">FLUJO DE CAJA LIBRE </t>
  </si>
  <si>
    <t>Utilidad neta</t>
  </si>
  <si>
    <t>(+) Impuestos causados</t>
  </si>
  <si>
    <t>EBIT</t>
  </si>
  <si>
    <t>(-) Impuestos causados</t>
  </si>
  <si>
    <t>EBIT(1-tx)</t>
  </si>
  <si>
    <t xml:space="preserve">FLUJO BRUTO </t>
  </si>
  <si>
    <t>Inversión en capital de trabajo</t>
  </si>
  <si>
    <t>Inversión inicial en activos fijos</t>
  </si>
  <si>
    <t xml:space="preserve">Valor Terminal </t>
  </si>
  <si>
    <t>Valor presente VT</t>
  </si>
  <si>
    <t>Valor de mercado del negocio</t>
  </si>
  <si>
    <t>VALOR PRESENTE NETO</t>
  </si>
  <si>
    <t xml:space="preserve">ESTADO DE RESULTADOS </t>
  </si>
  <si>
    <t xml:space="preserve">Costo de Ventas </t>
  </si>
  <si>
    <t xml:space="preserve">UTILIDAD BRUTA </t>
  </si>
  <si>
    <t xml:space="preserve">Gastos de Operación </t>
  </si>
  <si>
    <t xml:space="preserve">Depreciación </t>
  </si>
  <si>
    <t xml:space="preserve">TOTAL GASTOS </t>
  </si>
  <si>
    <t xml:space="preserve">UTILIDAD OPERACIONAL </t>
  </si>
  <si>
    <t xml:space="preserve">Impuestos </t>
  </si>
  <si>
    <t xml:space="preserve">UTILIDAD NETA </t>
  </si>
  <si>
    <t>(Expresado en miles de pesos)</t>
  </si>
  <si>
    <t>ACTIVO</t>
  </si>
  <si>
    <t>PASIVO</t>
  </si>
  <si>
    <t>Activo Corriente</t>
  </si>
  <si>
    <t>Efectivo y Equivalentes de Efectivo</t>
  </si>
  <si>
    <t>TOTAL ACTIVO CORRIENTE</t>
  </si>
  <si>
    <t>TOTAL PASIVO</t>
  </si>
  <si>
    <t>Activo No Corriente</t>
  </si>
  <si>
    <t xml:space="preserve">Equipo de Computacion </t>
  </si>
  <si>
    <t>PATRIMONIO</t>
  </si>
  <si>
    <t>TOTAL ACTIVO NO CORRIENTE</t>
  </si>
  <si>
    <t>Aportes Sociales</t>
  </si>
  <si>
    <t>TOTAL PATRIMONIO</t>
  </si>
  <si>
    <t>TOTAL ACTIVO</t>
  </si>
  <si>
    <t>TOTAL PASIVO Y PATRIMONIO</t>
  </si>
  <si>
    <t>SI SE PUEDE!</t>
  </si>
  <si>
    <t>Seguros Internacionales</t>
  </si>
  <si>
    <t>Costo unitario</t>
  </si>
  <si>
    <t>Cursos de Ingles en el exterior</t>
  </si>
  <si>
    <t>Cursos de Ingles -Nacional - online</t>
  </si>
  <si>
    <t>Financiamientos</t>
  </si>
  <si>
    <t>Comisión</t>
  </si>
  <si>
    <t>Viajes académicos</t>
  </si>
  <si>
    <t xml:space="preserve"> Servicios públicos de la oficina</t>
  </si>
  <si>
    <t xml:space="preserve">Arrendamiento </t>
  </si>
  <si>
    <t>Programas formativos Online</t>
  </si>
  <si>
    <t>Comisión en pesos</t>
  </si>
  <si>
    <t>Servicios</t>
  </si>
  <si>
    <t>Realista</t>
  </si>
  <si>
    <t>Optimista</t>
  </si>
  <si>
    <t>Pesimista</t>
  </si>
  <si>
    <t>Por</t>
  </si>
  <si>
    <t>Gastos de Representación</t>
  </si>
  <si>
    <t>Nomina</t>
  </si>
  <si>
    <t>NOMINA</t>
  </si>
  <si>
    <t>Servicios vendidos primer año</t>
  </si>
  <si>
    <t>IPC PROYECTADO</t>
  </si>
  <si>
    <t xml:space="preserve">Según encuesta BANREP </t>
  </si>
  <si>
    <t>TOTAL INGRESOS</t>
  </si>
  <si>
    <t>PROYECCION SERVICIOS</t>
  </si>
  <si>
    <t>Gastos de Administracion</t>
  </si>
  <si>
    <t>Tasa Impositiva</t>
  </si>
  <si>
    <t xml:space="preserve">BALANCE GENERAL </t>
  </si>
  <si>
    <t xml:space="preserve">INVERSION </t>
  </si>
  <si>
    <t>TOTAL INVERSIONES EN ACTIVOS FIJOS</t>
  </si>
  <si>
    <t xml:space="preserve">Gastos de depreciación </t>
  </si>
  <si>
    <t>Depreciacion acumulada</t>
  </si>
  <si>
    <t xml:space="preserve">TOTAL DEPRECIACIÓN ACUMULADA </t>
  </si>
  <si>
    <t xml:space="preserve">ACTIVOS FIJOS </t>
  </si>
  <si>
    <t>COSTOS DE VENTA</t>
  </si>
  <si>
    <t>GASTOS FIJOS</t>
  </si>
  <si>
    <t>Equipo de computacion</t>
  </si>
  <si>
    <t>DEPRECIACIÓN   (Met. Linea recta)</t>
  </si>
  <si>
    <t>Utilidad del ejercicio</t>
  </si>
  <si>
    <t>Secretaria</t>
  </si>
  <si>
    <t>Gastos Operativos</t>
  </si>
  <si>
    <t>Registro del Dominio</t>
  </si>
  <si>
    <t>Aportes sociales</t>
  </si>
  <si>
    <t>Espacio publicitario - Terceros</t>
  </si>
  <si>
    <t>Ingresos</t>
  </si>
  <si>
    <t>DIFERENCIA</t>
  </si>
  <si>
    <t>Ingeniero /Administrador</t>
  </si>
  <si>
    <t>Servidor - hosting- seguridad</t>
  </si>
  <si>
    <t>Seleccionar   ESCENARIO</t>
  </si>
  <si>
    <t>FLUJO DE CAJA LIBRE</t>
  </si>
  <si>
    <t>Flujo neto del periodo</t>
  </si>
  <si>
    <t>Saldo inicial en caja</t>
  </si>
  <si>
    <t>Saldo final en caja</t>
  </si>
  <si>
    <t>Flujo de Financiacion</t>
  </si>
  <si>
    <t>Flujo de Inversion</t>
  </si>
  <si>
    <t xml:space="preserve">Utilidades de ejercicios anteriores </t>
  </si>
  <si>
    <t xml:space="preserve">Impuestos por pagar </t>
  </si>
  <si>
    <t xml:space="preserve"> =</t>
  </si>
  <si>
    <t>Datos importantes del modelo</t>
  </si>
  <si>
    <t>Se cumple la proyección al</t>
  </si>
  <si>
    <t>Múltiplo crecimiento de clientes</t>
  </si>
  <si>
    <t>Ahorros - Gestión Financiera</t>
  </si>
  <si>
    <t>E.A</t>
  </si>
  <si>
    <t>TIO</t>
  </si>
  <si>
    <t>Costo Anual Uniforme Equivalente - CAUE</t>
  </si>
  <si>
    <t xml:space="preserve">Inversión inicial </t>
  </si>
  <si>
    <t>Valor presente de los flujos              VPN</t>
  </si>
  <si>
    <t xml:space="preserve">TIR     </t>
  </si>
  <si>
    <t>AÑOS</t>
  </si>
  <si>
    <t>FLUJO</t>
  </si>
  <si>
    <t>Años</t>
  </si>
  <si>
    <t xml:space="preserve">PAY BACK   </t>
  </si>
  <si>
    <t>MODELO FINANCIERO</t>
  </si>
  <si>
    <t>Los gastos en publicidad disminuyen un5%</t>
  </si>
  <si>
    <t>Los gastos de representacion disminuyen un 10%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</si>
</sst>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* #,##0_-;\-* #,##0_-;_-* &quot;-&quot;??_-;_-@_-"/>
    <numFmt numFmtId="166" formatCode="_-&quot;$&quot;\ * #,##0_-;\-&quot;$&quot;\ * #,##0_-;_-&quot;$&quot;\ * &quot;-&quot;??_-;_-@_-"/>
    <numFmt numFmtId="167" formatCode="&quot;$&quot;\ #,##0"/>
    <numFmt numFmtId="168" formatCode="&quot;$&quot;#,##0"/>
    <numFmt numFmtId="169" formatCode="_ &quot;$&quot;\ * #,##0.00_ ;_ &quot;$&quot;\ * \-#,##0.00_ ;_ &quot;$&quot;\ * &quot;-&quot;??_ ;_ @_ "/>
    <numFmt numFmtId="170" formatCode="_(* #,##0.00_);_(* \(#,##0.00\);_(* &quot;-&quot;??_);_(@_)"/>
    <numFmt numFmtId="171" formatCode="_(&quot;$&quot;\ * #,##0.00_);_(&quot;$&quot;\ * \(#,##0.00\);_(&quot;$&quot;\ * &quot;-&quot;??_);_(@_)"/>
    <numFmt numFmtId="172" formatCode="0.0%"/>
    <numFmt numFmtId="173" formatCode="#,##0.00_ ;[Red]\-#,##0.00\ 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name val="Arial"/>
      <family val="2"/>
    </font>
    <font>
      <sz val="8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Arial Black"/>
      <family val="2"/>
    </font>
    <font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indexed="81"/>
      <name val="Tahoma"/>
      <charset val="1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0.249977111117893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9" fontId="10" fillId="0" borderId="0" applyNumberFormat="0" applyFont="0" applyFill="0" applyBorder="0" applyAlignment="0" applyProtection="0"/>
    <xf numFmtId="170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60">
    <xf numFmtId="0" fontId="0" fillId="0" borderId="0" xfId="0"/>
    <xf numFmtId="0" fontId="0" fillId="2" borderId="5" xfId="0" applyFill="1" applyBorder="1"/>
    <xf numFmtId="0" fontId="3" fillId="2" borderId="5" xfId="0" applyFont="1" applyFill="1" applyBorder="1"/>
    <xf numFmtId="0" fontId="0" fillId="0" borderId="0" xfId="0" applyBorder="1"/>
    <xf numFmtId="166" fontId="6" fillId="2" borderId="0" xfId="2" applyNumberFormat="1" applyFont="1" applyFill="1" applyBorder="1" applyAlignment="1">
      <alignment horizontal="left" indent="2"/>
    </xf>
    <xf numFmtId="166" fontId="6" fillId="2" borderId="0" xfId="2" applyNumberFormat="1" applyFont="1" applyFill="1" applyBorder="1" applyAlignment="1" applyProtection="1"/>
    <xf numFmtId="44" fontId="7" fillId="2" borderId="0" xfId="2" applyFont="1" applyFill="1" applyBorder="1" applyAlignment="1" applyProtection="1"/>
    <xf numFmtId="44" fontId="9" fillId="2" borderId="0" xfId="2" applyFont="1" applyFill="1" applyBorder="1" applyAlignment="1" applyProtection="1"/>
    <xf numFmtId="0" fontId="0" fillId="2" borderId="0" xfId="0" applyNumberFormat="1" applyFont="1" applyFill="1" applyBorder="1" applyAlignment="1" applyProtection="1">
      <alignment horizontal="right"/>
    </xf>
    <xf numFmtId="1" fontId="12" fillId="5" borderId="0" xfId="1" applyNumberFormat="1" applyFont="1" applyFill="1" applyBorder="1" applyAlignment="1" applyProtection="1">
      <alignment horizontal="center"/>
    </xf>
    <xf numFmtId="43" fontId="0" fillId="0" borderId="0" xfId="1" applyFont="1"/>
    <xf numFmtId="0" fontId="0" fillId="0" borderId="0" xfId="0" applyAlignment="1">
      <alignment horizontal="center"/>
    </xf>
    <xf numFmtId="1" fontId="12" fillId="5" borderId="3" xfId="1" applyNumberFormat="1" applyFont="1" applyFill="1" applyBorder="1" applyAlignment="1" applyProtection="1">
      <alignment horizontal="center"/>
    </xf>
    <xf numFmtId="1" fontId="12" fillId="5" borderId="4" xfId="1" applyNumberFormat="1" applyFont="1" applyFill="1" applyBorder="1" applyAlignment="1" applyProtection="1">
      <alignment horizontal="center"/>
    </xf>
    <xf numFmtId="167" fontId="12" fillId="7" borderId="5" xfId="0" applyNumberFormat="1" applyFont="1" applyFill="1" applyBorder="1"/>
    <xf numFmtId="0" fontId="0" fillId="0" borderId="5" xfId="0" applyBorder="1"/>
    <xf numFmtId="43" fontId="2" fillId="6" borderId="0" xfId="0" applyNumberFormat="1" applyFont="1" applyFill="1"/>
    <xf numFmtId="43" fontId="2" fillId="6" borderId="2" xfId="1" applyFont="1" applyFill="1" applyBorder="1" applyAlignment="1">
      <alignment horizontal="center" vertical="center" wrapText="1"/>
    </xf>
    <xf numFmtId="43" fontId="2" fillId="6" borderId="3" xfId="1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 wrapText="1"/>
    </xf>
    <xf numFmtId="43" fontId="0" fillId="0" borderId="0" xfId="1" applyFont="1" applyBorder="1"/>
    <xf numFmtId="0" fontId="0" fillId="0" borderId="6" xfId="0" applyBorder="1"/>
    <xf numFmtId="43" fontId="0" fillId="0" borderId="6" xfId="1" applyFont="1" applyBorder="1"/>
    <xf numFmtId="43" fontId="0" fillId="0" borderId="8" xfId="1" applyFont="1" applyBorder="1"/>
    <xf numFmtId="43" fontId="0" fillId="0" borderId="9" xfId="1" applyFont="1" applyBorder="1"/>
    <xf numFmtId="1" fontId="12" fillId="5" borderId="2" xfId="1" applyNumberFormat="1" applyFont="1" applyFill="1" applyBorder="1" applyAlignment="1" applyProtection="1">
      <alignment horizontal="center"/>
    </xf>
    <xf numFmtId="166" fontId="6" fillId="2" borderId="5" xfId="2" applyNumberFormat="1" applyFont="1" applyFill="1" applyBorder="1" applyAlignment="1">
      <alignment horizontal="left" indent="2"/>
    </xf>
    <xf numFmtId="166" fontId="6" fillId="2" borderId="6" xfId="2" applyNumberFormat="1" applyFont="1" applyFill="1" applyBorder="1" applyAlignment="1">
      <alignment horizontal="left" indent="2"/>
    </xf>
    <xf numFmtId="166" fontId="6" fillId="2" borderId="7" xfId="2" applyNumberFormat="1" applyFont="1" applyFill="1" applyBorder="1" applyAlignment="1">
      <alignment horizontal="left" indent="2"/>
    </xf>
    <xf numFmtId="166" fontId="6" fillId="2" borderId="8" xfId="2" applyNumberFormat="1" applyFont="1" applyFill="1" applyBorder="1" applyAlignment="1">
      <alignment horizontal="left" indent="2"/>
    </xf>
    <xf numFmtId="166" fontId="6" fillId="2" borderId="9" xfId="2" applyNumberFormat="1" applyFont="1" applyFill="1" applyBorder="1" applyAlignment="1">
      <alignment horizontal="left" indent="2"/>
    </xf>
    <xf numFmtId="9" fontId="2" fillId="6" borderId="0" xfId="3" applyFont="1" applyFill="1" applyAlignment="1">
      <alignment horizontal="center" vertical="center"/>
    </xf>
    <xf numFmtId="1" fontId="2" fillId="6" borderId="0" xfId="3" applyNumberFormat="1" applyFont="1" applyFill="1" applyAlignment="1">
      <alignment horizontal="center" vertical="center"/>
    </xf>
    <xf numFmtId="172" fontId="0" fillId="8" borderId="0" xfId="3" applyNumberFormat="1" applyFont="1" applyFill="1" applyBorder="1" applyAlignment="1">
      <alignment horizontal="center"/>
    </xf>
    <xf numFmtId="43" fontId="0" fillId="8" borderId="6" xfId="1" applyFont="1" applyFill="1" applyBorder="1"/>
    <xf numFmtId="2" fontId="5" fillId="5" borderId="5" xfId="0" applyNumberFormat="1" applyFont="1" applyFill="1" applyBorder="1" applyAlignment="1" applyProtection="1"/>
    <xf numFmtId="1" fontId="12" fillId="5" borderId="6" xfId="1" applyNumberFormat="1" applyFont="1" applyFill="1" applyBorder="1" applyAlignment="1" applyProtection="1">
      <alignment horizontal="center"/>
    </xf>
    <xf numFmtId="0" fontId="6" fillId="2" borderId="5" xfId="0" applyNumberFormat="1" applyFont="1" applyFill="1" applyBorder="1" applyAlignment="1" applyProtection="1"/>
    <xf numFmtId="0" fontId="7" fillId="2" borderId="5" xfId="0" applyNumberFormat="1" applyFont="1" applyFill="1" applyBorder="1" applyAlignment="1" applyProtection="1"/>
    <xf numFmtId="167" fontId="12" fillId="7" borderId="7" xfId="0" applyNumberFormat="1" applyFont="1" applyFill="1" applyBorder="1"/>
    <xf numFmtId="0" fontId="9" fillId="2" borderId="5" xfId="0" applyNumberFormat="1" applyFont="1" applyFill="1" applyBorder="1" applyAlignment="1" applyProtection="1"/>
    <xf numFmtId="167" fontId="12" fillId="7" borderId="7" xfId="0" applyNumberFormat="1" applyFont="1" applyFill="1" applyBorder="1" applyProtection="1"/>
    <xf numFmtId="167" fontId="12" fillId="7" borderId="8" xfId="0" applyNumberFormat="1" applyFont="1" applyFill="1" applyBorder="1" applyProtection="1"/>
    <xf numFmtId="1" fontId="2" fillId="7" borderId="0" xfId="1" applyNumberFormat="1" applyFont="1" applyFill="1" applyBorder="1" applyAlignment="1" applyProtection="1">
      <alignment horizontal="center"/>
    </xf>
    <xf numFmtId="0" fontId="2" fillId="6" borderId="11" xfId="0" applyFont="1" applyFill="1" applyBorder="1" applyAlignment="1">
      <alignment horizontal="center" vertical="center" wrapText="1"/>
    </xf>
    <xf numFmtId="0" fontId="0" fillId="8" borderId="12" xfId="0" applyFill="1" applyBorder="1" applyAlignment="1">
      <alignment horizontal="center"/>
    </xf>
    <xf numFmtId="0" fontId="0" fillId="8" borderId="13" xfId="0" applyFill="1" applyBorder="1" applyAlignment="1">
      <alignment horizontal="center"/>
    </xf>
    <xf numFmtId="0" fontId="0" fillId="4" borderId="0" xfId="0" applyFill="1"/>
    <xf numFmtId="43" fontId="0" fillId="4" borderId="0" xfId="1" applyFont="1" applyFill="1"/>
    <xf numFmtId="0" fontId="0" fillId="4" borderId="0" xfId="0" applyFill="1" applyAlignment="1">
      <alignment horizontal="center"/>
    </xf>
    <xf numFmtId="0" fontId="11" fillId="2" borderId="0" xfId="0" applyFont="1" applyFill="1" applyBorder="1" applyAlignment="1"/>
    <xf numFmtId="167" fontId="12" fillId="3" borderId="0" xfId="0" applyNumberFormat="1" applyFont="1" applyFill="1" applyBorder="1" applyAlignment="1">
      <alignment wrapText="1"/>
    </xf>
    <xf numFmtId="1" fontId="12" fillId="5" borderId="5" xfId="1" applyNumberFormat="1" applyFont="1" applyFill="1" applyBorder="1" applyAlignment="1" applyProtection="1">
      <alignment horizontal="center"/>
    </xf>
    <xf numFmtId="43" fontId="7" fillId="2" borderId="0" xfId="1" applyFont="1" applyFill="1" applyBorder="1" applyAlignment="1" applyProtection="1"/>
    <xf numFmtId="43" fontId="9" fillId="2" borderId="0" xfId="1" applyFont="1" applyFill="1" applyBorder="1" applyAlignment="1" applyProtection="1"/>
    <xf numFmtId="173" fontId="7" fillId="2" borderId="0" xfId="1" applyNumberFormat="1" applyFont="1" applyFill="1" applyBorder="1" applyAlignment="1" applyProtection="1"/>
    <xf numFmtId="173" fontId="9" fillId="2" borderId="0" xfId="1" applyNumberFormat="1" applyFont="1" applyFill="1" applyBorder="1" applyAlignment="1" applyProtection="1"/>
    <xf numFmtId="43" fontId="6" fillId="2" borderId="0" xfId="1" applyFont="1" applyFill="1" applyBorder="1" applyAlignment="1">
      <alignment horizontal="left" indent="2"/>
    </xf>
    <xf numFmtId="43" fontId="6" fillId="2" borderId="0" xfId="1" applyFont="1" applyFill="1" applyBorder="1" applyAlignment="1"/>
    <xf numFmtId="43" fontId="12" fillId="7" borderId="0" xfId="1" applyFont="1" applyFill="1" applyBorder="1"/>
    <xf numFmtId="173" fontId="6" fillId="2" borderId="0" xfId="1" applyNumberFormat="1" applyFont="1" applyFill="1" applyBorder="1" applyAlignment="1">
      <alignment horizontal="right" indent="2"/>
    </xf>
    <xf numFmtId="173" fontId="6" fillId="2" borderId="0" xfId="1" applyNumberFormat="1" applyFont="1" applyFill="1" applyBorder="1" applyAlignment="1">
      <alignment horizontal="right"/>
    </xf>
    <xf numFmtId="43" fontId="6" fillId="2" borderId="0" xfId="1" applyFont="1" applyFill="1" applyBorder="1" applyAlignment="1" applyProtection="1"/>
    <xf numFmtId="43" fontId="6" fillId="2" borderId="6" xfId="1" applyFont="1" applyFill="1" applyBorder="1" applyAlignment="1" applyProtection="1"/>
    <xf numFmtId="43" fontId="12" fillId="7" borderId="8" xfId="1" applyFont="1" applyFill="1" applyBorder="1"/>
    <xf numFmtId="43" fontId="12" fillId="7" borderId="9" xfId="1" applyFont="1" applyFill="1" applyBorder="1"/>
    <xf numFmtId="43" fontId="12" fillId="7" borderId="8" xfId="1" applyFont="1" applyFill="1" applyBorder="1" applyProtection="1"/>
    <xf numFmtId="43" fontId="12" fillId="7" borderId="9" xfId="1" applyFont="1" applyFill="1" applyBorder="1" applyProtection="1"/>
    <xf numFmtId="43" fontId="7" fillId="2" borderId="6" xfId="1" applyFont="1" applyFill="1" applyBorder="1" applyAlignment="1" applyProtection="1"/>
    <xf numFmtId="43" fontId="9" fillId="2" borderId="6" xfId="1" applyFont="1" applyFill="1" applyBorder="1" applyAlignment="1" applyProtection="1"/>
    <xf numFmtId="43" fontId="0" fillId="2" borderId="0" xfId="1" applyFont="1" applyFill="1" applyBorder="1" applyAlignment="1" applyProtection="1">
      <alignment horizontal="right"/>
    </xf>
    <xf numFmtId="43" fontId="0" fillId="2" borderId="0" xfId="1" applyFont="1" applyFill="1" applyBorder="1" applyAlignment="1" applyProtection="1">
      <alignment horizontal="right"/>
      <protection locked="0"/>
    </xf>
    <xf numFmtId="43" fontId="0" fillId="2" borderId="0" xfId="1" applyFont="1" applyFill="1" applyBorder="1" applyAlignment="1">
      <alignment horizontal="right"/>
    </xf>
    <xf numFmtId="2" fontId="2" fillId="7" borderId="5" xfId="0" applyNumberFormat="1" applyFont="1" applyFill="1" applyBorder="1" applyAlignment="1" applyProtection="1"/>
    <xf numFmtId="1" fontId="2" fillId="7" borderId="6" xfId="1" applyNumberFormat="1" applyFont="1" applyFill="1" applyBorder="1" applyAlignment="1" applyProtection="1">
      <alignment horizontal="center"/>
    </xf>
    <xf numFmtId="0" fontId="0" fillId="2" borderId="5" xfId="0" applyNumberFormat="1" applyFont="1" applyFill="1" applyBorder="1" applyAlignment="1" applyProtection="1"/>
    <xf numFmtId="0" fontId="0" fillId="2" borderId="6" xfId="0" applyNumberFormat="1" applyFont="1" applyFill="1" applyBorder="1" applyAlignment="1" applyProtection="1">
      <alignment horizontal="right"/>
    </xf>
    <xf numFmtId="0" fontId="3" fillId="2" borderId="5" xfId="0" applyNumberFormat="1" applyFont="1" applyFill="1" applyBorder="1" applyAlignment="1" applyProtection="1"/>
    <xf numFmtId="43" fontId="0" fillId="2" borderId="6" xfId="1" applyFont="1" applyFill="1" applyBorder="1" applyAlignment="1" applyProtection="1">
      <alignment horizontal="right"/>
      <protection locked="0"/>
    </xf>
    <xf numFmtId="0" fontId="0" fillId="2" borderId="5" xfId="0" applyNumberFormat="1" applyFont="1" applyFill="1" applyBorder="1" applyAlignment="1"/>
    <xf numFmtId="43" fontId="0" fillId="2" borderId="6" xfId="1" applyFont="1" applyFill="1" applyBorder="1" applyAlignment="1">
      <alignment horizontal="right"/>
    </xf>
    <xf numFmtId="0" fontId="3" fillId="2" borderId="5" xfId="0" applyNumberFormat="1" applyFont="1" applyFill="1" applyBorder="1" applyAlignment="1"/>
    <xf numFmtId="43" fontId="0" fillId="2" borderId="6" xfId="1" applyFont="1" applyFill="1" applyBorder="1" applyAlignment="1" applyProtection="1">
      <alignment horizontal="right"/>
    </xf>
    <xf numFmtId="173" fontId="6" fillId="3" borderId="0" xfId="1" applyNumberFormat="1" applyFont="1" applyFill="1" applyProtection="1"/>
    <xf numFmtId="0" fontId="3" fillId="5" borderId="5" xfId="0" applyFont="1" applyFill="1" applyBorder="1"/>
    <xf numFmtId="167" fontId="12" fillId="5" borderId="5" xfId="0" applyNumberFormat="1" applyFont="1" applyFill="1" applyBorder="1"/>
    <xf numFmtId="173" fontId="6" fillId="5" borderId="0" xfId="1" applyNumberFormat="1" applyFont="1" applyFill="1" applyBorder="1" applyProtection="1"/>
    <xf numFmtId="173" fontId="6" fillId="5" borderId="6" xfId="1" applyNumberFormat="1" applyFont="1" applyFill="1" applyBorder="1" applyProtection="1"/>
    <xf numFmtId="167" fontId="12" fillId="5" borderId="7" xfId="0" applyNumberFormat="1" applyFont="1" applyFill="1" applyBorder="1" applyAlignment="1">
      <alignment wrapText="1"/>
    </xf>
    <xf numFmtId="173" fontId="6" fillId="5" borderId="8" xfId="1" applyNumberFormat="1" applyFont="1" applyFill="1" applyBorder="1" applyProtection="1"/>
    <xf numFmtId="173" fontId="6" fillId="5" borderId="9" xfId="1" applyNumberFormat="1" applyFont="1" applyFill="1" applyBorder="1" applyProtection="1"/>
    <xf numFmtId="167" fontId="6" fillId="2" borderId="5" xfId="4" applyNumberFormat="1" applyFont="1" applyFill="1" applyBorder="1" applyAlignment="1"/>
    <xf numFmtId="173" fontId="12" fillId="7" borderId="0" xfId="1" applyNumberFormat="1" applyFont="1" applyFill="1" applyBorder="1" applyAlignment="1">
      <alignment horizontal="right"/>
    </xf>
    <xf numFmtId="173" fontId="12" fillId="7" borderId="6" xfId="1" applyNumberFormat="1" applyFont="1" applyFill="1" applyBorder="1" applyAlignment="1">
      <alignment horizontal="right"/>
    </xf>
    <xf numFmtId="173" fontId="6" fillId="2" borderId="6" xfId="1" applyNumberFormat="1" applyFont="1" applyFill="1" applyBorder="1" applyAlignment="1">
      <alignment horizontal="right"/>
    </xf>
    <xf numFmtId="173" fontId="12" fillId="7" borderId="8" xfId="1" applyNumberFormat="1" applyFont="1" applyFill="1" applyBorder="1" applyAlignment="1">
      <alignment horizontal="right"/>
    </xf>
    <xf numFmtId="173" fontId="12" fillId="7" borderId="9" xfId="1" applyNumberFormat="1" applyFont="1" applyFill="1" applyBorder="1" applyAlignment="1">
      <alignment horizontal="right"/>
    </xf>
    <xf numFmtId="10" fontId="0" fillId="8" borderId="0" xfId="0" applyNumberFormat="1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1" fontId="12" fillId="5" borderId="1" xfId="1" applyNumberFormat="1" applyFont="1" applyFill="1" applyBorder="1" applyAlignment="1" applyProtection="1">
      <alignment horizontal="center"/>
    </xf>
    <xf numFmtId="173" fontId="7" fillId="5" borderId="0" xfId="1" applyNumberFormat="1" applyFont="1" applyFill="1" applyBorder="1" applyAlignment="1" applyProtection="1"/>
    <xf numFmtId="173" fontId="9" fillId="5" borderId="0" xfId="1" applyNumberFormat="1" applyFont="1" applyFill="1" applyBorder="1" applyAlignment="1" applyProtection="1"/>
    <xf numFmtId="173" fontId="6" fillId="2" borderId="6" xfId="1" applyNumberFormat="1" applyFont="1" applyFill="1" applyBorder="1" applyAlignment="1">
      <alignment horizontal="right" indent="2"/>
    </xf>
    <xf numFmtId="43" fontId="3" fillId="9" borderId="22" xfId="1" applyFont="1" applyFill="1" applyBorder="1" applyAlignment="1"/>
    <xf numFmtId="0" fontId="0" fillId="10" borderId="0" xfId="0" applyFill="1"/>
    <xf numFmtId="43" fontId="0" fillId="10" borderId="0" xfId="1" applyFont="1" applyFill="1"/>
    <xf numFmtId="0" fontId="0" fillId="10" borderId="0" xfId="0" applyFill="1" applyAlignment="1">
      <alignment horizontal="center"/>
    </xf>
    <xf numFmtId="0" fontId="4" fillId="10" borderId="0" xfId="0" applyFont="1" applyFill="1"/>
    <xf numFmtId="0" fontId="0" fillId="10" borderId="2" xfId="0" applyFill="1" applyBorder="1"/>
    <xf numFmtId="0" fontId="0" fillId="10" borderId="3" xfId="0" applyFill="1" applyBorder="1"/>
    <xf numFmtId="10" fontId="0" fillId="10" borderId="8" xfId="3" applyNumberFormat="1" applyFont="1" applyFill="1" applyBorder="1" applyAlignment="1">
      <alignment horizontal="center"/>
    </xf>
    <xf numFmtId="10" fontId="0" fillId="10" borderId="9" xfId="3" applyNumberFormat="1" applyFont="1" applyFill="1" applyBorder="1" applyAlignment="1">
      <alignment horizontal="center"/>
    </xf>
    <xf numFmtId="9" fontId="0" fillId="10" borderId="15" xfId="3" applyFont="1" applyFill="1" applyBorder="1" applyAlignment="1">
      <alignment horizontal="center"/>
    </xf>
    <xf numFmtId="43" fontId="3" fillId="10" borderId="10" xfId="1" applyFont="1" applyFill="1" applyBorder="1" applyAlignment="1"/>
    <xf numFmtId="0" fontId="0" fillId="10" borderId="16" xfId="0" applyFill="1" applyBorder="1"/>
    <xf numFmtId="9" fontId="0" fillId="10" borderId="17" xfId="3" applyFont="1" applyFill="1" applyBorder="1"/>
    <xf numFmtId="0" fontId="0" fillId="10" borderId="18" xfId="0" applyFill="1" applyBorder="1"/>
    <xf numFmtId="9" fontId="0" fillId="10" borderId="19" xfId="3" applyFont="1" applyFill="1" applyBorder="1"/>
    <xf numFmtId="0" fontId="0" fillId="10" borderId="20" xfId="0" applyFill="1" applyBorder="1"/>
    <xf numFmtId="9" fontId="0" fillId="10" borderId="21" xfId="3" applyFont="1" applyFill="1" applyBorder="1"/>
    <xf numFmtId="0" fontId="0" fillId="10" borderId="0" xfId="0" applyFill="1" applyBorder="1"/>
    <xf numFmtId="0" fontId="0" fillId="10" borderId="23" xfId="0" applyFill="1" applyBorder="1"/>
    <xf numFmtId="0" fontId="0" fillId="10" borderId="24" xfId="0" applyFill="1" applyBorder="1"/>
    <xf numFmtId="43" fontId="0" fillId="10" borderId="24" xfId="1" applyFont="1" applyFill="1" applyBorder="1"/>
    <xf numFmtId="0" fontId="0" fillId="10" borderId="24" xfId="0" applyFill="1" applyBorder="1" applyAlignment="1">
      <alignment horizontal="center"/>
    </xf>
    <xf numFmtId="0" fontId="0" fillId="10" borderId="25" xfId="0" applyFill="1" applyBorder="1"/>
    <xf numFmtId="0" fontId="3" fillId="10" borderId="26" xfId="0" applyFont="1" applyFill="1" applyBorder="1" applyAlignment="1">
      <alignment horizontal="center"/>
    </xf>
    <xf numFmtId="43" fontId="0" fillId="10" borderId="0" xfId="1" applyFont="1" applyFill="1" applyBorder="1"/>
    <xf numFmtId="0" fontId="0" fillId="10" borderId="0" xfId="0" applyFill="1" applyBorder="1" applyAlignment="1">
      <alignment horizontal="center"/>
    </xf>
    <xf numFmtId="0" fontId="0" fillId="10" borderId="22" xfId="0" applyFill="1" applyBorder="1"/>
    <xf numFmtId="0" fontId="0" fillId="10" borderId="27" xfId="0" applyFill="1" applyBorder="1"/>
    <xf numFmtId="0" fontId="0" fillId="10" borderId="28" xfId="0" applyFill="1" applyBorder="1"/>
    <xf numFmtId="43" fontId="0" fillId="10" borderId="28" xfId="1" applyFont="1" applyFill="1" applyBorder="1"/>
    <xf numFmtId="0" fontId="0" fillId="10" borderId="28" xfId="0" applyFill="1" applyBorder="1" applyAlignment="1">
      <alignment horizontal="center"/>
    </xf>
    <xf numFmtId="0" fontId="0" fillId="10" borderId="29" xfId="0" applyFill="1" applyBorder="1"/>
    <xf numFmtId="0" fontId="0" fillId="10" borderId="0" xfId="0" applyFill="1" applyAlignment="1">
      <alignment horizontal="center" wrapText="1"/>
    </xf>
    <xf numFmtId="165" fontId="0" fillId="10" borderId="0" xfId="1" applyNumberFormat="1" applyFont="1" applyFill="1" applyAlignment="1">
      <alignment horizontal="center" vertical="center"/>
    </xf>
    <xf numFmtId="0" fontId="0" fillId="10" borderId="5" xfId="0" applyFill="1" applyBorder="1"/>
    <xf numFmtId="0" fontId="0" fillId="10" borderId="6" xfId="0" applyFill="1" applyBorder="1"/>
    <xf numFmtId="0" fontId="0" fillId="10" borderId="12" xfId="0" applyFill="1" applyBorder="1"/>
    <xf numFmtId="0" fontId="0" fillId="10" borderId="19" xfId="0" applyFill="1" applyBorder="1"/>
    <xf numFmtId="0" fontId="0" fillId="10" borderId="1" xfId="0" applyFill="1" applyBorder="1" applyAlignment="1">
      <alignment horizontal="center"/>
    </xf>
    <xf numFmtId="0" fontId="0" fillId="10" borderId="7" xfId="0" applyFill="1" applyBorder="1"/>
    <xf numFmtId="0" fontId="0" fillId="10" borderId="8" xfId="0" applyFill="1" applyBorder="1"/>
    <xf numFmtId="43" fontId="0" fillId="10" borderId="8" xfId="1" applyFont="1" applyFill="1" applyBorder="1"/>
    <xf numFmtId="172" fontId="0" fillId="10" borderId="8" xfId="0" applyNumberFormat="1" applyFill="1" applyBorder="1" applyAlignment="1">
      <alignment horizontal="center"/>
    </xf>
    <xf numFmtId="43" fontId="0" fillId="10" borderId="9" xfId="1" applyFont="1" applyFill="1" applyBorder="1"/>
    <xf numFmtId="172" fontId="0" fillId="10" borderId="0" xfId="0" applyNumberFormat="1" applyFill="1" applyAlignment="1">
      <alignment horizontal="center"/>
    </xf>
    <xf numFmtId="2" fontId="0" fillId="10" borderId="0" xfId="0" applyNumberFormat="1" applyFill="1"/>
    <xf numFmtId="165" fontId="0" fillId="10" borderId="0" xfId="1" applyNumberFormat="1" applyFont="1" applyFill="1" applyAlignment="1">
      <alignment horizontal="center"/>
    </xf>
    <xf numFmtId="0" fontId="8" fillId="10" borderId="5" xfId="0" applyNumberFormat="1" applyFont="1" applyFill="1" applyBorder="1" applyAlignment="1"/>
    <xf numFmtId="43" fontId="0" fillId="10" borderId="6" xfId="1" applyFont="1" applyFill="1" applyBorder="1"/>
    <xf numFmtId="0" fontId="6" fillId="10" borderId="5" xfId="0" applyNumberFormat="1" applyFont="1" applyFill="1" applyBorder="1" applyAlignment="1"/>
    <xf numFmtId="0" fontId="0" fillId="10" borderId="0" xfId="0" applyFont="1" applyFill="1" applyBorder="1"/>
    <xf numFmtId="43" fontId="6" fillId="10" borderId="0" xfId="1" applyFont="1" applyFill="1" applyBorder="1" applyAlignment="1">
      <alignment horizontal="right"/>
    </xf>
    <xf numFmtId="43" fontId="6" fillId="10" borderId="6" xfId="1" applyFont="1" applyFill="1" applyBorder="1" applyAlignment="1">
      <alignment horizontal="right"/>
    </xf>
    <xf numFmtId="43" fontId="6" fillId="10" borderId="0" xfId="1" applyFont="1" applyFill="1" applyBorder="1" applyAlignment="1"/>
    <xf numFmtId="43" fontId="6" fillId="10" borderId="6" xfId="1" applyFont="1" applyFill="1" applyBorder="1" applyAlignment="1"/>
    <xf numFmtId="0" fontId="6" fillId="10" borderId="0" xfId="0" applyNumberFormat="1" applyFont="1" applyFill="1" applyBorder="1" applyAlignment="1"/>
    <xf numFmtId="43" fontId="0" fillId="10" borderId="0" xfId="0" applyNumberFormat="1" applyFill="1"/>
    <xf numFmtId="0" fontId="0" fillId="10" borderId="4" xfId="0" applyFill="1" applyBorder="1"/>
    <xf numFmtId="2" fontId="5" fillId="10" borderId="5" xfId="0" applyNumberFormat="1" applyFont="1" applyFill="1" applyBorder="1" applyAlignment="1" applyProtection="1">
      <alignment horizontal="center" vertical="center"/>
    </xf>
    <xf numFmtId="2" fontId="5" fillId="10" borderId="0" xfId="0" applyNumberFormat="1" applyFont="1" applyFill="1" applyBorder="1" applyAlignment="1" applyProtection="1">
      <alignment horizontal="center" vertical="center"/>
    </xf>
    <xf numFmtId="2" fontId="5" fillId="10" borderId="6" xfId="0" applyNumberFormat="1" applyFont="1" applyFill="1" applyBorder="1" applyAlignment="1" applyProtection="1">
      <alignment horizontal="center" vertical="center"/>
    </xf>
    <xf numFmtId="0" fontId="7" fillId="10" borderId="5" xfId="0" applyNumberFormat="1" applyFont="1" applyFill="1" applyBorder="1" applyAlignment="1" applyProtection="1"/>
    <xf numFmtId="43" fontId="7" fillId="10" borderId="0" xfId="1" applyFont="1" applyFill="1" applyBorder="1" applyAlignment="1" applyProtection="1"/>
    <xf numFmtId="43" fontId="7" fillId="10" borderId="6" xfId="1" applyFont="1" applyFill="1" applyBorder="1" applyAlignment="1" applyProtection="1"/>
    <xf numFmtId="0" fontId="0" fillId="10" borderId="9" xfId="0" applyFill="1" applyBorder="1"/>
    <xf numFmtId="173" fontId="6" fillId="10" borderId="0" xfId="1" applyNumberFormat="1" applyFont="1" applyFill="1" applyBorder="1" applyProtection="1"/>
    <xf numFmtId="173" fontId="6" fillId="10" borderId="6" xfId="1" applyNumberFormat="1" applyFont="1" applyFill="1" applyBorder="1" applyProtection="1"/>
    <xf numFmtId="167" fontId="12" fillId="10" borderId="0" xfId="0" applyNumberFormat="1" applyFont="1" applyFill="1" applyBorder="1" applyAlignment="1">
      <alignment wrapText="1"/>
    </xf>
    <xf numFmtId="173" fontId="6" fillId="10" borderId="0" xfId="1" applyNumberFormat="1" applyFont="1" applyFill="1" applyProtection="1"/>
    <xf numFmtId="2" fontId="5" fillId="10" borderId="5" xfId="0" applyNumberFormat="1" applyFont="1" applyFill="1" applyBorder="1" applyAlignment="1" applyProtection="1"/>
    <xf numFmtId="167" fontId="12" fillId="10" borderId="5" xfId="0" applyNumberFormat="1" applyFont="1" applyFill="1" applyBorder="1"/>
    <xf numFmtId="43" fontId="12" fillId="10" borderId="0" xfId="1" applyFont="1" applyFill="1" applyBorder="1"/>
    <xf numFmtId="173" fontId="12" fillId="10" borderId="0" xfId="1" applyNumberFormat="1" applyFont="1" applyFill="1" applyBorder="1" applyAlignment="1">
      <alignment horizontal="right"/>
    </xf>
    <xf numFmtId="173" fontId="12" fillId="10" borderId="6" xfId="1" applyNumberFormat="1" applyFont="1" applyFill="1" applyBorder="1" applyAlignment="1">
      <alignment horizontal="right"/>
    </xf>
    <xf numFmtId="173" fontId="7" fillId="10" borderId="0" xfId="1" applyNumberFormat="1" applyFont="1" applyFill="1" applyBorder="1" applyAlignment="1" applyProtection="1"/>
    <xf numFmtId="173" fontId="9" fillId="10" borderId="0" xfId="1" applyNumberFormat="1" applyFont="1" applyFill="1" applyBorder="1" applyAlignment="1" applyProtection="1"/>
    <xf numFmtId="168" fontId="6" fillId="10" borderId="0" xfId="4" applyNumberFormat="1" applyFont="1" applyFill="1" applyBorder="1"/>
    <xf numFmtId="173" fontId="6" fillId="10" borderId="0" xfId="1" applyNumberFormat="1" applyFont="1" applyFill="1" applyBorder="1"/>
    <xf numFmtId="167" fontId="6" fillId="10" borderId="5" xfId="4" applyNumberFormat="1" applyFont="1" applyFill="1" applyBorder="1" applyAlignment="1">
      <alignment horizontal="left" indent="2"/>
    </xf>
    <xf numFmtId="173" fontId="7" fillId="2" borderId="6" xfId="1" applyNumberFormat="1" applyFont="1" applyFill="1" applyBorder="1" applyAlignment="1" applyProtection="1"/>
    <xf numFmtId="173" fontId="9" fillId="2" borderId="6" xfId="1" applyNumberFormat="1" applyFont="1" applyFill="1" applyBorder="1" applyAlignment="1" applyProtection="1"/>
    <xf numFmtId="0" fontId="9" fillId="5" borderId="5" xfId="0" applyNumberFormat="1" applyFont="1" applyFill="1" applyBorder="1" applyAlignment="1" applyProtection="1"/>
    <xf numFmtId="173" fontId="9" fillId="5" borderId="6" xfId="1" applyNumberFormat="1" applyFont="1" applyFill="1" applyBorder="1" applyAlignment="1" applyProtection="1"/>
    <xf numFmtId="0" fontId="9" fillId="10" borderId="5" xfId="0" applyNumberFormat="1" applyFont="1" applyFill="1" applyBorder="1" applyAlignment="1" applyProtection="1"/>
    <xf numFmtId="173" fontId="9" fillId="10" borderId="6" xfId="1" applyNumberFormat="1" applyFont="1" applyFill="1" applyBorder="1" applyAlignment="1" applyProtection="1"/>
    <xf numFmtId="0" fontId="9" fillId="5" borderId="7" xfId="0" applyNumberFormat="1" applyFont="1" applyFill="1" applyBorder="1" applyAlignment="1" applyProtection="1"/>
    <xf numFmtId="173" fontId="7" fillId="2" borderId="8" xfId="1" applyNumberFormat="1" applyFont="1" applyFill="1" applyBorder="1" applyAlignment="1" applyProtection="1"/>
    <xf numFmtId="173" fontId="7" fillId="2" borderId="9" xfId="1" applyNumberFormat="1" applyFont="1" applyFill="1" applyBorder="1" applyAlignment="1" applyProtection="1"/>
    <xf numFmtId="167" fontId="12" fillId="7" borderId="14" xfId="0" applyNumberFormat="1" applyFont="1" applyFill="1" applyBorder="1" applyProtection="1"/>
    <xf numFmtId="173" fontId="12" fillId="7" borderId="30" xfId="1" applyNumberFormat="1" applyFont="1" applyFill="1" applyBorder="1" applyProtection="1"/>
    <xf numFmtId="173" fontId="12" fillId="7" borderId="15" xfId="1" applyNumberFormat="1" applyFont="1" applyFill="1" applyBorder="1" applyProtection="1"/>
    <xf numFmtId="167" fontId="12" fillId="5" borderId="31" xfId="0" applyNumberFormat="1" applyFont="1" applyFill="1" applyBorder="1"/>
    <xf numFmtId="43" fontId="0" fillId="10" borderId="32" xfId="1" applyFont="1" applyFill="1" applyBorder="1"/>
    <xf numFmtId="167" fontId="12" fillId="5" borderId="33" xfId="0" applyNumberFormat="1" applyFont="1" applyFill="1" applyBorder="1"/>
    <xf numFmtId="173" fontId="7" fillId="2" borderId="34" xfId="1" applyNumberFormat="1" applyFont="1" applyFill="1" applyBorder="1" applyAlignment="1" applyProtection="1"/>
    <xf numFmtId="173" fontId="9" fillId="2" borderId="34" xfId="1" applyNumberFormat="1" applyFont="1" applyFill="1" applyBorder="1" applyAlignment="1" applyProtection="1"/>
    <xf numFmtId="167" fontId="12" fillId="5" borderId="35" xfId="0" applyNumberFormat="1" applyFont="1" applyFill="1" applyBorder="1" applyAlignment="1">
      <alignment vertical="center"/>
    </xf>
    <xf numFmtId="173" fontId="9" fillId="2" borderId="36" xfId="1" applyNumberFormat="1" applyFont="1" applyFill="1" applyBorder="1" applyAlignment="1" applyProtection="1"/>
    <xf numFmtId="43" fontId="3" fillId="9" borderId="0" xfId="1" applyFont="1" applyFill="1" applyBorder="1" applyAlignment="1"/>
    <xf numFmtId="10" fontId="9" fillId="2" borderId="34" xfId="3" applyNumberFormat="1" applyFont="1" applyFill="1" applyBorder="1" applyAlignment="1" applyProtection="1"/>
    <xf numFmtId="8" fontId="7" fillId="2" borderId="34" xfId="3" applyNumberFormat="1" applyFont="1" applyFill="1" applyBorder="1" applyAlignment="1" applyProtection="1"/>
    <xf numFmtId="2" fontId="0" fillId="0" borderId="1" xfId="0" applyNumberFormat="1" applyBorder="1"/>
    <xf numFmtId="167" fontId="12" fillId="12" borderId="33" xfId="0" applyNumberFormat="1" applyFont="1" applyFill="1" applyBorder="1"/>
    <xf numFmtId="167" fontId="12" fillId="12" borderId="33" xfId="0" applyNumberFormat="1" applyFont="1" applyFill="1" applyBorder="1" applyAlignment="1">
      <alignment horizontal="right"/>
    </xf>
    <xf numFmtId="173" fontId="0" fillId="0" borderId="0" xfId="0" applyNumberFormat="1" applyBorder="1"/>
    <xf numFmtId="173" fontId="0" fillId="0" borderId="8" xfId="0" applyNumberFormat="1" applyBorder="1"/>
    <xf numFmtId="173" fontId="16" fillId="2" borderId="34" xfId="1" applyNumberFormat="1" applyFont="1" applyFill="1" applyBorder="1" applyAlignment="1" applyProtection="1"/>
    <xf numFmtId="0" fontId="3" fillId="10" borderId="14" xfId="0" applyFont="1" applyFill="1" applyBorder="1" applyAlignment="1">
      <alignment horizontal="center"/>
    </xf>
    <xf numFmtId="0" fontId="3" fillId="10" borderId="15" xfId="0" applyFont="1" applyFill="1" applyBorder="1" applyAlignment="1">
      <alignment horizontal="center"/>
    </xf>
    <xf numFmtId="0" fontId="3" fillId="10" borderId="7" xfId="0" applyFont="1" applyFill="1" applyBorder="1" applyAlignment="1">
      <alignment horizontal="center"/>
    </xf>
    <xf numFmtId="0" fontId="3" fillId="10" borderId="8" xfId="0" applyFont="1" applyFill="1" applyBorder="1" applyAlignment="1">
      <alignment horizontal="center"/>
    </xf>
    <xf numFmtId="0" fontId="0" fillId="8" borderId="37" xfId="0" applyFill="1" applyBorder="1" applyAlignment="1">
      <alignment horizontal="center"/>
    </xf>
    <xf numFmtId="0" fontId="0" fillId="10" borderId="38" xfId="0" applyFill="1" applyBorder="1"/>
    <xf numFmtId="0" fontId="0" fillId="10" borderId="39" xfId="0" applyFill="1" applyBorder="1"/>
    <xf numFmtId="0" fontId="0" fillId="10" borderId="40" xfId="0" applyFill="1" applyBorder="1"/>
    <xf numFmtId="0" fontId="0" fillId="10" borderId="41" xfId="0" applyFill="1" applyBorder="1"/>
    <xf numFmtId="0" fontId="0" fillId="10" borderId="42" xfId="0" applyFill="1" applyBorder="1"/>
    <xf numFmtId="0" fontId="0" fillId="10" borderId="43" xfId="0" applyFill="1" applyBorder="1"/>
    <xf numFmtId="0" fontId="0" fillId="10" borderId="44" xfId="0" applyFill="1" applyBorder="1"/>
    <xf numFmtId="1" fontId="2" fillId="0" borderId="0" xfId="3" applyNumberFormat="1" applyFont="1" applyFill="1" applyAlignment="1">
      <alignment horizontal="center" vertical="center"/>
    </xf>
    <xf numFmtId="165" fontId="0" fillId="0" borderId="0" xfId="1" applyNumberFormat="1" applyFont="1" applyFill="1" applyAlignment="1">
      <alignment horizontal="center" vertical="center"/>
    </xf>
    <xf numFmtId="1" fontId="12" fillId="0" borderId="0" xfId="1" applyNumberFormat="1" applyFont="1" applyFill="1" applyBorder="1" applyAlignment="1" applyProtection="1">
      <alignment horizontal="center"/>
    </xf>
    <xf numFmtId="0" fontId="0" fillId="0" borderId="0" xfId="0" applyFill="1" applyBorder="1"/>
    <xf numFmtId="166" fontId="6" fillId="0" borderId="0" xfId="2" applyNumberFormat="1" applyFont="1" applyFill="1" applyBorder="1" applyAlignment="1">
      <alignment horizontal="left" indent="2"/>
    </xf>
    <xf numFmtId="43" fontId="0" fillId="0" borderId="0" xfId="1" applyFont="1" applyFill="1"/>
    <xf numFmtId="0" fontId="0" fillId="0" borderId="0" xfId="0" applyFill="1"/>
    <xf numFmtId="43" fontId="2" fillId="0" borderId="0" xfId="0" applyNumberFormat="1" applyFont="1" applyFill="1"/>
    <xf numFmtId="172" fontId="0" fillId="10" borderId="0" xfId="3" applyNumberFormat="1" applyFont="1" applyFill="1"/>
    <xf numFmtId="0" fontId="11" fillId="2" borderId="5" xfId="0" applyFont="1" applyFill="1" applyBorder="1" applyAlignment="1">
      <alignment horizontal="center"/>
    </xf>
    <xf numFmtId="173" fontId="0" fillId="10" borderId="0" xfId="0" applyNumberFormat="1" applyFill="1"/>
    <xf numFmtId="0" fontId="2" fillId="6" borderId="0" xfId="0" applyFont="1" applyFill="1" applyAlignment="1">
      <alignment horizontal="center" vertical="center" wrapText="1"/>
    </xf>
    <xf numFmtId="0" fontId="17" fillId="13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2" fillId="6" borderId="0" xfId="0" applyFont="1" applyFill="1" applyAlignment="1">
      <alignment horizontal="center"/>
    </xf>
    <xf numFmtId="2" fontId="2" fillId="6" borderId="2" xfId="0" applyNumberFormat="1" applyFont="1" applyFill="1" applyBorder="1" applyAlignment="1" applyProtection="1">
      <alignment horizontal="center" vertical="center"/>
    </xf>
    <xf numFmtId="2" fontId="2" fillId="6" borderId="3" xfId="0" applyNumberFormat="1" applyFont="1" applyFill="1" applyBorder="1" applyAlignment="1" applyProtection="1">
      <alignment horizontal="center" vertical="center"/>
    </xf>
    <xf numFmtId="2" fontId="2" fillId="6" borderId="4" xfId="0" applyNumberFormat="1" applyFont="1" applyFill="1" applyBorder="1" applyAlignment="1" applyProtection="1">
      <alignment horizontal="center" vertical="center"/>
    </xf>
    <xf numFmtId="2" fontId="2" fillId="7" borderId="2" xfId="0" applyNumberFormat="1" applyFont="1" applyFill="1" applyBorder="1" applyAlignment="1" applyProtection="1">
      <alignment horizontal="center" vertical="center"/>
    </xf>
    <xf numFmtId="2" fontId="2" fillId="7" borderId="3" xfId="0" applyNumberFormat="1" applyFont="1" applyFill="1" applyBorder="1" applyAlignment="1" applyProtection="1">
      <alignment horizontal="center" vertical="center"/>
    </xf>
    <xf numFmtId="2" fontId="2" fillId="7" borderId="4" xfId="0" applyNumberFormat="1" applyFont="1" applyFill="1" applyBorder="1" applyAlignment="1" applyProtection="1">
      <alignment horizontal="center" vertical="center"/>
    </xf>
    <xf numFmtId="49" fontId="2" fillId="6" borderId="7" xfId="0" applyNumberFormat="1" applyFont="1" applyFill="1" applyBorder="1" applyAlignment="1">
      <alignment horizontal="center"/>
    </xf>
    <xf numFmtId="49" fontId="2" fillId="6" borderId="8" xfId="0" applyNumberFormat="1" applyFont="1" applyFill="1" applyBorder="1" applyAlignment="1">
      <alignment horizontal="center"/>
    </xf>
    <xf numFmtId="49" fontId="2" fillId="6" borderId="9" xfId="0" applyNumberFormat="1" applyFont="1" applyFill="1" applyBorder="1" applyAlignment="1">
      <alignment horizontal="center"/>
    </xf>
    <xf numFmtId="0" fontId="2" fillId="6" borderId="5" xfId="0" applyFont="1" applyFill="1" applyBorder="1" applyAlignment="1">
      <alignment horizontal="center"/>
    </xf>
    <xf numFmtId="0" fontId="2" fillId="6" borderId="0" xfId="0" applyFont="1" applyFill="1" applyBorder="1" applyAlignment="1">
      <alignment horizontal="center"/>
    </xf>
    <xf numFmtId="0" fontId="2" fillId="6" borderId="6" xfId="0" applyFont="1" applyFill="1" applyBorder="1" applyAlignment="1">
      <alignment horizontal="center"/>
    </xf>
    <xf numFmtId="49" fontId="2" fillId="6" borderId="5" xfId="0" applyNumberFormat="1" applyFont="1" applyFill="1" applyBorder="1" applyAlignment="1">
      <alignment horizontal="center"/>
    </xf>
    <xf numFmtId="49" fontId="2" fillId="6" borderId="0" xfId="0" applyNumberFormat="1" applyFont="1" applyFill="1" applyBorder="1" applyAlignment="1">
      <alignment horizontal="center"/>
    </xf>
    <xf numFmtId="49" fontId="2" fillId="6" borderId="6" xfId="0" applyNumberFormat="1" applyFont="1" applyFill="1" applyBorder="1" applyAlignment="1">
      <alignment horizontal="center"/>
    </xf>
    <xf numFmtId="0" fontId="11" fillId="2" borderId="5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11" fillId="2" borderId="6" xfId="0" applyFont="1" applyFill="1" applyBorder="1" applyAlignment="1">
      <alignment horizontal="center"/>
    </xf>
    <xf numFmtId="2" fontId="2" fillId="6" borderId="5" xfId="0" applyNumberFormat="1" applyFont="1" applyFill="1" applyBorder="1" applyAlignment="1" applyProtection="1">
      <alignment horizontal="center" vertical="center"/>
    </xf>
    <xf numFmtId="2" fontId="2" fillId="6" borderId="0" xfId="0" applyNumberFormat="1" applyFont="1" applyFill="1" applyBorder="1" applyAlignment="1" applyProtection="1">
      <alignment horizontal="center" vertical="center"/>
    </xf>
    <xf numFmtId="2" fontId="2" fillId="6" borderId="6" xfId="0" applyNumberFormat="1" applyFont="1" applyFill="1" applyBorder="1" applyAlignment="1" applyProtection="1">
      <alignment horizontal="center" vertical="center"/>
    </xf>
    <xf numFmtId="0" fontId="15" fillId="11" borderId="26" xfId="0" applyFont="1" applyFill="1" applyBorder="1" applyAlignment="1" applyProtection="1">
      <alignment horizontal="center"/>
      <protection locked="0"/>
    </xf>
  </cellXfs>
  <cellStyles count="8">
    <cellStyle name="Currency 2" xfId="4"/>
    <cellStyle name="Millares" xfId="1" builtinId="3"/>
    <cellStyle name="Millares 3" xfId="5"/>
    <cellStyle name="Moneda" xfId="2" builtinId="4"/>
    <cellStyle name="Moneda 2" xfId="6"/>
    <cellStyle name="Moneda 3" xfId="7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INGRESOS </a:t>
            </a:r>
            <a:r>
              <a:rPr lang="es-CO" baseline="0"/>
              <a:t> VS UTILIDAD NETA</a:t>
            </a:r>
            <a:endParaRPr lang="es-CO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2598109720562758"/>
          <c:y val="0.13263072184692387"/>
          <c:w val="0.85289678970491578"/>
          <c:h val="0.7655725065682799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'Estados Financieros'!$B$40</c:f>
              <c:strCache>
                <c:ptCount val="1"/>
                <c:pt idx="0">
                  <c:v>Ingresos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'Estados Financieros'!$D$39:$H$39</c:f>
              <c:numCache>
                <c:formatCode>0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f>'Estados Financieros'!$D$40:$H$40</c:f>
              <c:numCache>
                <c:formatCode>#,##0.00_ ;[Red]\-#,##0.00\ </c:formatCode>
                <c:ptCount val="5"/>
                <c:pt idx="0">
                  <c:v>7320000</c:v>
                </c:pt>
                <c:pt idx="1">
                  <c:v>52674720</c:v>
                </c:pt>
                <c:pt idx="2">
                  <c:v>113006160</c:v>
                </c:pt>
                <c:pt idx="3">
                  <c:v>188343600</c:v>
                </c:pt>
                <c:pt idx="4">
                  <c:v>301349760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34E-4122-BB8B-0B93A09D7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1832939712"/>
        <c:axId val="-1832942976"/>
      </c:barChart>
      <c:lineChart>
        <c:grouping val="standard"/>
        <c:varyColors val="0"/>
        <c:ser>
          <c:idx val="2"/>
          <c:order val="1"/>
          <c:tx>
            <c:strRef>
              <c:f>'Estados Financieros'!$B$50</c:f>
              <c:strCache>
                <c:ptCount val="1"/>
                <c:pt idx="0">
                  <c:v>UTILIDAD NETA </c:v>
                </c:pt>
              </c:strCache>
            </c:strRef>
          </c:tx>
          <c:spPr>
            <a:ln w="34925" cap="rnd">
              <a:solidFill>
                <a:schemeClr val="accent1">
                  <a:lumMod val="75000"/>
                </a:schemeClr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Pt>
            <c:idx val="2"/>
            <c:marker>
              <c:symbol val="none"/>
            </c:marker>
            <c:bubble3D val="0"/>
          </c:dPt>
          <c:dLbls>
            <c:dLbl>
              <c:idx val="0"/>
              <c:layout>
                <c:manualLayout>
                  <c:x val="-3.9143726362544573E-3"/>
                  <c:y val="2.249761624851995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lt1">
                          <a:lumMod val="8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966237149029875"/>
                      <c:h val="5.5787072975303616E-2"/>
                    </c:manualLayout>
                  </c15:layout>
                </c:ext>
              </c:extLst>
            </c:dLbl>
            <c:dLbl>
              <c:idx val="1"/>
              <c:layout>
                <c:manualLayout>
                  <c:x val="2.9357794771908427E-3"/>
                  <c:y val="2.525261055782676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lt1">
                          <a:lumMod val="8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553393044468045"/>
                      <c:h val="5.5787072975303616E-2"/>
                    </c:manualLayout>
                  </c15:layout>
                </c:ext>
              </c:extLst>
            </c:dLbl>
            <c:dLbl>
              <c:idx val="2"/>
              <c:layout>
                <c:manualLayout>
                  <c:x val="1.9571863181272284E-2"/>
                  <c:y val="2.93847549577518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-2.64462794619767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'Estados Financieros'!$D$50:$H$50</c:f>
              <c:numCache>
                <c:formatCode>#,##0.00_ ;[Red]\-#,##0.00\ </c:formatCode>
                <c:ptCount val="5"/>
                <c:pt idx="0">
                  <c:v>-81210000</c:v>
                </c:pt>
                <c:pt idx="1">
                  <c:v>-36530720</c:v>
                </c:pt>
                <c:pt idx="2">
                  <c:v>14689933.011839997</c:v>
                </c:pt>
                <c:pt idx="3">
                  <c:v>64024908.299177736</c:v>
                </c:pt>
                <c:pt idx="4">
                  <c:v>138328689.4301137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34E-4122-BB8B-0B93A09D7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32939712"/>
        <c:axId val="-1832942976"/>
      </c:lineChart>
      <c:catAx>
        <c:axId val="-183293971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832942976"/>
        <c:crosses val="autoZero"/>
        <c:auto val="1"/>
        <c:lblAlgn val="ctr"/>
        <c:lblOffset val="100"/>
        <c:noMultiLvlLbl val="0"/>
      </c:catAx>
      <c:valAx>
        <c:axId val="-1832942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.00_ ;[Red]\-#,##0.0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832939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/>
              <a:t>Flujo de  Caja Libre</a:t>
            </a:r>
          </a:p>
        </c:rich>
      </c:tx>
      <c:layout>
        <c:manualLayout>
          <c:xMode val="edge"/>
          <c:yMode val="edge"/>
          <c:x val="0.36429881437234141"/>
          <c:y val="9.343064261461116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lt1">
                  <a:lumMod val="85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2618100844679289"/>
          <c:y val="0.10433689439854067"/>
          <c:w val="0.80885133496243999"/>
          <c:h val="0.78150819983099262"/>
        </c:manualLayout>
      </c:layout>
      <c:areaChart>
        <c:grouping val="stacked"/>
        <c:varyColors val="0"/>
        <c:ser>
          <c:idx val="0"/>
          <c:order val="0"/>
          <c:spPr>
            <a:gradFill>
              <a:gsLst>
                <a:gs pos="100000">
                  <a:schemeClr val="accent6">
                    <a:shade val="76000"/>
                  </a:schemeClr>
                </a:gs>
                <a:gs pos="0">
                  <a:schemeClr val="accent6">
                    <a:shade val="76000"/>
                    <a:lumMod val="75000"/>
                  </a:schemeClr>
                </a:gs>
              </a:gsLst>
              <a:lin ang="0" scaled="1"/>
            </a:gradFill>
            <a:ln>
              <a:noFill/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'Flujo de Caja Libre'!$C$6:$H$6</c:f>
              <c:numCache>
                <c:formatCode>0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D75-465A-90B1-CDAF4301A44B}"/>
            </c:ext>
          </c:extLst>
        </c:ser>
        <c:ser>
          <c:idx val="1"/>
          <c:order val="1"/>
          <c:spPr>
            <a:solidFill>
              <a:schemeClr val="accent2">
                <a:lumMod val="75000"/>
              </a:schemeClr>
            </a:solidFill>
            <a:ln>
              <a:noFill/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dLbls>
            <c:dLbl>
              <c:idx val="0"/>
              <c:layout>
                <c:manualLayout>
                  <c:x val="5.3333260928590809E-2"/>
                  <c:y val="-2.71157495147750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4.1533924847380645E-2"/>
                  <c:y val="-2.52266341611664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7.5516226995237575E-3"/>
                  <c:y val="7.56799024834993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7758113497618094E-3"/>
                  <c:y val="-2.10221951343053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1.1327434049285774E-2"/>
                  <c:y val="-7.7080491718701717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'Flujo de Caja Libre'!$C$26:$H$26</c:f>
              <c:numCache>
                <c:formatCode>#,##0.00_ ;[Red]\-#,##0.00\ </c:formatCode>
                <c:ptCount val="6"/>
                <c:pt idx="0">
                  <c:v>-134500000</c:v>
                </c:pt>
                <c:pt idx="1">
                  <c:v>54390000</c:v>
                </c:pt>
                <c:pt idx="2">
                  <c:v>18959280</c:v>
                </c:pt>
                <c:pt idx="3">
                  <c:v>41984553.151999995</c:v>
                </c:pt>
                <c:pt idx="4">
                  <c:v>131408777.63747841</c:v>
                </c:pt>
                <c:pt idx="5">
                  <c:v>307434851.80372477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>
                  <a:alpha val="40000"/>
                </a:schemeClr>
              </a:solidFill>
              <a:round/>
            </a:ln>
            <a:effectLst/>
          </c:spPr>
        </c:dropLines>
        <c:axId val="-1832936992"/>
        <c:axId val="-1832928288"/>
      </c:areaChart>
      <c:catAx>
        <c:axId val="-1832936992"/>
        <c:scaling>
          <c:orientation val="minMax"/>
        </c:scaling>
        <c:delete val="1"/>
        <c:axPos val="b"/>
        <c:numFmt formatCode="0" sourceLinked="1"/>
        <c:majorTickMark val="none"/>
        <c:minorTickMark val="none"/>
        <c:tickLblPos val="nextTo"/>
        <c:crossAx val="-1832928288"/>
        <c:crosses val="autoZero"/>
        <c:auto val="1"/>
        <c:lblAlgn val="ctr"/>
        <c:lblOffset val="100"/>
        <c:noMultiLvlLbl val="0"/>
      </c:catAx>
      <c:valAx>
        <c:axId val="-1832928288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prstDash val="sysDot"/>
              <a:round/>
            </a:ln>
            <a:effectLst/>
          </c:spPr>
        </c:majorGridlines>
        <c:numFmt formatCode="#,##0;[Red]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8329369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lt1">
          <a:lumMod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FLUJO</a:t>
            </a:r>
            <a:r>
              <a:rPr lang="es-CO" baseline="0"/>
              <a:t> BRUTO  VS  FLUJO CAJA LIBRE</a:t>
            </a:r>
            <a:endParaRPr lang="es-CO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5130540748322144"/>
          <c:y val="0.13831397513290206"/>
          <c:w val="0.83136607397473306"/>
          <c:h val="0.76675962138922693"/>
        </c:manualLayout>
      </c:layout>
      <c:lineChart>
        <c:grouping val="standard"/>
        <c:varyColors val="0"/>
        <c:ser>
          <c:idx val="0"/>
          <c:order val="0"/>
          <c:tx>
            <c:strRef>
              <c:f>'Flujo de Caja Libre'!$B$14</c:f>
              <c:strCache>
                <c:ptCount val="1"/>
                <c:pt idx="0">
                  <c:v>FLUJO BRUTO </c:v>
                </c:pt>
              </c:strCache>
            </c:strRef>
          </c:tx>
          <c:spPr>
            <a:ln w="34925" cap="rnd">
              <a:solidFill>
                <a:srgbClr val="00B050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dLbl>
              <c:idx val="1"/>
              <c:layout>
                <c:manualLayout>
                  <c:x val="-6.7523460585503847E-2"/>
                  <c:y val="2.859696246717467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5164859704948309E-2"/>
                  <c:y val="3.495184301543573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5995147408385882E-2"/>
                  <c:y val="6.3548805482609482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2885716828356552E-2"/>
                  <c:y val="2.541952219304425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'Flujo de Caja Libre'!$C$6:$H$6</c:f>
              <c:numCache>
                <c:formatCode>0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'Flujo de Caja Libre'!$C$14:$H$14</c:f>
              <c:numCache>
                <c:formatCode>#,##0.00_ ;[Red]\-#,##0.00\ </c:formatCode>
                <c:ptCount val="6"/>
                <c:pt idx="0">
                  <c:v>0</c:v>
                </c:pt>
                <c:pt idx="1">
                  <c:v>-80110000</c:v>
                </c:pt>
                <c:pt idx="2">
                  <c:v>-35430720</c:v>
                </c:pt>
                <c:pt idx="3">
                  <c:v>23025273.151999995</c:v>
                </c:pt>
                <c:pt idx="4">
                  <c:v>89424224.485478416</c:v>
                </c:pt>
                <c:pt idx="5">
                  <c:v>176026074.16624632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'Flujo de Caja Libre'!$B$26</c:f>
              <c:strCache>
                <c:ptCount val="1"/>
                <c:pt idx="0">
                  <c:v>FLUJO DE CAJA LIBRE</c:v>
                </c:pt>
              </c:strCache>
            </c:strRef>
          </c:tx>
          <c:spPr>
            <a:ln w="34925" cap="rnd">
              <a:solidFill>
                <a:schemeClr val="accent1">
                  <a:lumMod val="75000"/>
                </a:schemeClr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dLbl>
              <c:idx val="3"/>
              <c:layout>
                <c:manualLayout>
                  <c:x val="-9.567752764035159E-2"/>
                  <c:y val="-3.81292832895663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0.12702289229196265"/>
                  <c:y val="-1.906464164478319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'Flujo de Caja Libre'!$C$6:$H$6</c:f>
              <c:numCache>
                <c:formatCode>0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'Flujo de Caja Libre'!$C$26:$H$26</c:f>
              <c:numCache>
                <c:formatCode>#,##0.00_ ;[Red]\-#,##0.00\ </c:formatCode>
                <c:ptCount val="6"/>
                <c:pt idx="0">
                  <c:v>-134500000</c:v>
                </c:pt>
                <c:pt idx="1">
                  <c:v>54390000</c:v>
                </c:pt>
                <c:pt idx="2">
                  <c:v>18959280</c:v>
                </c:pt>
                <c:pt idx="3">
                  <c:v>41984553.151999995</c:v>
                </c:pt>
                <c:pt idx="4">
                  <c:v>131408777.63747841</c:v>
                </c:pt>
                <c:pt idx="5">
                  <c:v>307434851.80372477</c:v>
                </c:pt>
              </c:numCache>
            </c:numRef>
          </c:val>
          <c:smooth val="0"/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-1832937536"/>
        <c:axId val="-1832939168"/>
      </c:lineChart>
      <c:catAx>
        <c:axId val="-1832937536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2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832939168"/>
        <c:crosses val="autoZero"/>
        <c:auto val="1"/>
        <c:lblAlgn val="ctr"/>
        <c:lblOffset val="100"/>
        <c:noMultiLvlLbl val="0"/>
      </c:catAx>
      <c:valAx>
        <c:axId val="-1832939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.00_ ;[Red]\-#,##0.0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832937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3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77">
  <cs:axisTitle>
    <cs:lnRef idx="0"/>
    <cs:fillRef idx="0"/>
    <cs:effectRef idx="0"/>
    <cs:fontRef idx="minor">
      <a:schemeClr val="lt1">
        <a:lumMod val="85000"/>
      </a:schemeClr>
    </cs:fontRef>
    <cs:defRPr sz="900" kern="1200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75" cap="flat" cmpd="sng" algn="ctr">
        <a:solidFill>
          <a:schemeClr val="lt1">
            <a:lumMod val="75000"/>
          </a:schemeClr>
        </a:solidFill>
        <a:round/>
        <a:headEnd type="none" w="sm" len="sm"/>
        <a:tailEnd type="none" w="sm" len="sm"/>
      </a:ln>
    </cs:spPr>
    <cs:defRPr sz="900" b="1" kern="1200" cap="all" baseline="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lt1">
            <a:lumMod val="7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85000"/>
      </a:schemeClr>
    </cs:fontRef>
    <cs:spPr>
      <a:solidFill>
        <a:schemeClr val="dk1">
          <a:lumMod val="65000"/>
          <a:lumOff val="35000"/>
        </a:schemeClr>
      </a:solidFill>
      <a:ln>
        <a:solidFill>
          <a:schemeClr val="lt1">
            <a:lumMod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>
        <a:gsLst>
          <a:gs pos="100000">
            <a:schemeClr val="phClr"/>
          </a:gs>
          <a:gs pos="0">
            <a:schemeClr val="phClr">
              <a:lumMod val="75000"/>
            </a:schemeClr>
          </a:gs>
        </a:gsLst>
        <a:lin ang="0" scaled="1"/>
      </a:gradFill>
      <a:effectLst>
        <a:innerShdw dist="12700" dir="16200000">
          <a:schemeClr val="lt1">
            <a:alpha val="75000"/>
          </a:schemeClr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100000">
            <a:schemeClr val="phClr"/>
          </a:gs>
          <a:gs pos="0">
            <a:schemeClr val="phClr">
              <a:lumMod val="75000"/>
            </a:schemeClr>
          </a:gs>
        </a:gsLst>
        <a:lin ang="0" scaled="1"/>
      </a:gradFill>
      <a:effectLst>
        <a:innerShdw dist="12700" dir="16200000">
          <a:schemeClr val="lt1">
            <a:alpha val="75000"/>
          </a:schemeClr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540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50000"/>
      </a:schemeClr>
    </cs:fontRef>
    <cs:spPr>
      <a:ln w="9525">
        <a:solidFill>
          <a:schemeClr val="lt1">
            <a:lumMod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4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4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prstDash val="sysDot"/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6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bg1">
        <a:lumMod val="85000"/>
      </a:schemeClr>
    </cs:fontRef>
    <cs:spPr>
      <a:ln w="19050" cap="flat" cmpd="sng" algn="ctr">
        <a:solidFill>
          <a:schemeClr val="bg1">
            <a:lumMod val="85000"/>
          </a:schemeClr>
        </a:solidFill>
        <a:round/>
        <a:headEnd type="none" w="sm" len="sm"/>
        <a:tailEnd type="none" w="sm" len="sm"/>
      </a:ln>
    </cs:spPr>
    <cs:defRPr sz="900" b="1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ajor">
      <a:schemeClr val="lt1">
        <a:lumMod val="8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130969</xdr:colOff>
      <xdr:row>10</xdr:row>
      <xdr:rowOff>83344</xdr:rowOff>
    </xdr:from>
    <xdr:to>
      <xdr:col>10</xdr:col>
      <xdr:colOff>809625</xdr:colOff>
      <xdr:row>12</xdr:row>
      <xdr:rowOff>71438</xdr:rowOff>
    </xdr:to>
    <xdr:sp macro="" textlink="">
      <xdr:nvSpPr>
        <xdr:cNvPr id="2" name="Flecha derecha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9691688" y="2286000"/>
          <a:ext cx="1440656" cy="369094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 editAs="oneCell">
    <xdr:from>
      <xdr:col>12</xdr:col>
      <xdr:colOff>250031</xdr:colOff>
      <xdr:row>25</xdr:row>
      <xdr:rowOff>119062</xdr:rowOff>
    </xdr:from>
    <xdr:to>
      <xdr:col>14</xdr:col>
      <xdr:colOff>770926</xdr:colOff>
      <xdr:row>32</xdr:row>
      <xdr:rowOff>193127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82437" y="5536406"/>
          <a:ext cx="3568895" cy="147900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321466</xdr:colOff>
      <xdr:row>28</xdr:row>
      <xdr:rowOff>47624</xdr:rowOff>
    </xdr:from>
    <xdr:to>
      <xdr:col>16</xdr:col>
      <xdr:colOff>714373</xdr:colOff>
      <xdr:row>50</xdr:row>
      <xdr:rowOff>35718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452437</xdr:colOff>
      <xdr:row>20</xdr:row>
      <xdr:rowOff>11904</xdr:rowOff>
    </xdr:from>
    <xdr:to>
      <xdr:col>17</xdr:col>
      <xdr:colOff>261938</xdr:colOff>
      <xdr:row>36</xdr:row>
      <xdr:rowOff>35719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476250</xdr:colOff>
      <xdr:row>1</xdr:row>
      <xdr:rowOff>71437</xdr:rowOff>
    </xdr:from>
    <xdr:to>
      <xdr:col>17</xdr:col>
      <xdr:colOff>214312</xdr:colOff>
      <xdr:row>18</xdr:row>
      <xdr:rowOff>95251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Z85"/>
  <sheetViews>
    <sheetView tabSelected="1" zoomScale="80" zoomScaleNormal="80" workbookViewId="0">
      <selection activeCell="C5" sqref="C5"/>
    </sheetView>
  </sheetViews>
  <sheetFormatPr baseColWidth="10" defaultRowHeight="15" x14ac:dyDescent="0.25"/>
  <cols>
    <col min="1" max="1" width="5.5703125" customWidth="1"/>
    <col min="2" max="2" width="6.7109375" customWidth="1"/>
    <col min="3" max="3" width="40.140625" customWidth="1"/>
    <col min="4" max="4" width="6.140625" customWidth="1"/>
    <col min="5" max="5" width="17.28515625" style="10" customWidth="1"/>
    <col min="6" max="6" width="11.28515625" style="11" customWidth="1"/>
    <col min="7" max="7" width="15.85546875" customWidth="1"/>
    <col min="8" max="8" width="13.28515625" customWidth="1"/>
    <col min="9" max="9" width="17.140625" customWidth="1"/>
    <col min="10" max="10" width="11.140625" customWidth="1"/>
    <col min="11" max="11" width="14.5703125" customWidth="1"/>
    <col min="12" max="12" width="15.42578125" customWidth="1"/>
    <col min="13" max="13" width="26" customWidth="1"/>
    <col min="14" max="14" width="19.7109375" customWidth="1"/>
    <col min="15" max="15" width="16" bestFit="1" customWidth="1"/>
    <col min="16" max="19" width="18.42578125" customWidth="1"/>
    <col min="21" max="21" width="23.85546875" customWidth="1"/>
  </cols>
  <sheetData>
    <row r="1" spans="2:26" s="105" customFormat="1" x14ac:dyDescent="0.25">
      <c r="E1" s="106"/>
      <c r="F1" s="107"/>
    </row>
    <row r="2" spans="2:26" s="105" customFormat="1" ht="15.75" thickBot="1" x14ac:dyDescent="0.3">
      <c r="E2" s="106"/>
      <c r="F2" s="107"/>
    </row>
    <row r="3" spans="2:26" s="105" customFormat="1" ht="16.5" customHeight="1" thickTop="1" x14ac:dyDescent="0.25">
      <c r="B3" s="121"/>
      <c r="C3" s="122"/>
      <c r="D3" s="123"/>
      <c r="E3" s="124"/>
      <c r="F3" s="125"/>
      <c r="G3" s="126"/>
      <c r="M3" s="235" t="s">
        <v>118</v>
      </c>
    </row>
    <row r="4" spans="2:26" s="105" customFormat="1" ht="16.5" customHeight="1" x14ac:dyDescent="0.25">
      <c r="B4" s="121"/>
      <c r="C4" s="127" t="s">
        <v>94</v>
      </c>
      <c r="D4" s="121"/>
      <c r="E4" s="128"/>
      <c r="F4" s="129"/>
      <c r="G4" s="130"/>
      <c r="M4" s="235"/>
    </row>
    <row r="5" spans="2:26" s="105" customFormat="1" ht="21.75" customHeight="1" x14ac:dyDescent="0.4">
      <c r="B5" s="121"/>
      <c r="C5" s="259" t="s">
        <v>59</v>
      </c>
      <c r="D5" s="129" t="s">
        <v>103</v>
      </c>
      <c r="E5" s="202" t="s">
        <v>105</v>
      </c>
      <c r="F5" s="202"/>
      <c r="G5" s="104" t="str">
        <f>IF(C5="Realista"," 100 % ",IF(C5="Pesimista"," 50 % "," 150 % "))</f>
        <v xml:space="preserve"> 100 % </v>
      </c>
    </row>
    <row r="6" spans="2:26" s="105" customFormat="1" ht="15.75" thickBot="1" x14ac:dyDescent="0.3">
      <c r="B6" s="121"/>
      <c r="C6" s="131"/>
      <c r="D6" s="132"/>
      <c r="E6" s="133"/>
      <c r="F6" s="134"/>
      <c r="G6" s="135"/>
    </row>
    <row r="7" spans="2:26" s="105" customFormat="1" ht="21" customHeight="1" thickTop="1" x14ac:dyDescent="0.25">
      <c r="E7" s="106"/>
      <c r="F7" s="107"/>
      <c r="M7" s="106"/>
    </row>
    <row r="8" spans="2:26" s="105" customFormat="1" ht="28.5" customHeight="1" x14ac:dyDescent="0.25">
      <c r="C8" s="234" t="s">
        <v>70</v>
      </c>
      <c r="D8" s="234"/>
      <c r="E8" s="106"/>
      <c r="F8" s="107"/>
      <c r="J8" s="234" t="s">
        <v>106</v>
      </c>
      <c r="K8" s="234"/>
      <c r="L8" s="32"/>
      <c r="M8" s="33">
        <f>IF(C5="Realista",7,IF(C5="Pesimista",7*$D$44,7*$D$46))</f>
        <v>7</v>
      </c>
      <c r="N8" s="33">
        <f>IF(C5="Realista",15,IF(C5="Pesimista",15*$D$44,15*$D$46))</f>
        <v>15</v>
      </c>
      <c r="O8" s="33">
        <f>IF(C5="Realista",25,IF(C5="Pesimista",25*$D$44,25*$D$46))</f>
        <v>25</v>
      </c>
      <c r="P8" s="33">
        <f>IF(C5="Realista",40,IF(C5="Pesimista",40*$D$44,40*$D$46))</f>
        <v>40</v>
      </c>
      <c r="Q8" s="223"/>
      <c r="R8" s="223"/>
      <c r="S8" s="223"/>
      <c r="T8" s="234" t="s">
        <v>106</v>
      </c>
      <c r="U8" s="234"/>
      <c r="V8" s="32"/>
      <c r="W8" s="33">
        <v>7</v>
      </c>
      <c r="X8" s="33">
        <v>15</v>
      </c>
      <c r="Y8" s="33">
        <v>25</v>
      </c>
      <c r="Z8" s="33">
        <v>40</v>
      </c>
    </row>
    <row r="9" spans="2:26" s="105" customFormat="1" ht="14.25" customHeight="1" thickBot="1" x14ac:dyDescent="0.3">
      <c r="E9" s="106"/>
      <c r="F9" s="107"/>
      <c r="J9" s="136"/>
      <c r="K9" s="136"/>
      <c r="L9" s="137">
        <f>SUM(I12:I19)</f>
        <v>114</v>
      </c>
      <c r="M9" s="137">
        <f>+L9*M8</f>
        <v>798</v>
      </c>
      <c r="N9" s="137">
        <f>+L9*N8</f>
        <v>1710</v>
      </c>
      <c r="O9" s="137">
        <f>+L9*O8</f>
        <v>2850</v>
      </c>
      <c r="P9" s="137">
        <f>+L9*P8</f>
        <v>4560</v>
      </c>
      <c r="Q9" s="224"/>
      <c r="R9" s="224"/>
      <c r="S9" s="224"/>
    </row>
    <row r="10" spans="2:26" s="105" customFormat="1" ht="29.25" customHeight="1" x14ac:dyDescent="0.25">
      <c r="C10" s="17" t="s">
        <v>58</v>
      </c>
      <c r="D10" s="18"/>
      <c r="E10" s="18" t="s">
        <v>48</v>
      </c>
      <c r="F10" s="19" t="s">
        <v>52</v>
      </c>
      <c r="G10" s="20" t="s">
        <v>57</v>
      </c>
      <c r="H10" s="107"/>
      <c r="I10" s="45" t="s">
        <v>66</v>
      </c>
      <c r="K10" s="26">
        <v>2020</v>
      </c>
      <c r="L10" s="12">
        <v>2021</v>
      </c>
      <c r="M10" s="12">
        <v>2022</v>
      </c>
      <c r="N10" s="12">
        <v>2023</v>
      </c>
      <c r="O10" s="12">
        <v>2024</v>
      </c>
      <c r="P10" s="13">
        <v>2025</v>
      </c>
      <c r="Q10" s="225"/>
      <c r="R10" s="225"/>
      <c r="S10" s="225"/>
      <c r="V10" s="100">
        <v>2021</v>
      </c>
      <c r="W10" s="100">
        <v>2022</v>
      </c>
      <c r="X10" s="100">
        <v>2023</v>
      </c>
      <c r="Y10" s="100">
        <v>2024</v>
      </c>
      <c r="Z10" s="100">
        <v>2025</v>
      </c>
    </row>
    <row r="11" spans="2:26" s="105" customFormat="1" x14ac:dyDescent="0.25">
      <c r="C11" s="138"/>
      <c r="D11" s="121"/>
      <c r="E11" s="128"/>
      <c r="F11" s="129"/>
      <c r="G11" s="139"/>
      <c r="I11" s="140"/>
      <c r="K11" s="138"/>
      <c r="L11" s="121"/>
      <c r="M11" s="121"/>
      <c r="N11" s="121"/>
      <c r="O11" s="121"/>
      <c r="P11" s="139"/>
      <c r="Q11" s="226"/>
      <c r="R11" s="226"/>
      <c r="S11" s="226"/>
      <c r="V11" s="117"/>
      <c r="W11" s="121"/>
      <c r="X11" s="121"/>
      <c r="Y11" s="121"/>
      <c r="Z11" s="141"/>
    </row>
    <row r="12" spans="2:26" s="105" customFormat="1" x14ac:dyDescent="0.25">
      <c r="C12" s="138" t="s">
        <v>56</v>
      </c>
      <c r="D12" s="121"/>
      <c r="E12" s="128">
        <v>3100000</v>
      </c>
      <c r="F12" s="34">
        <v>0.03</v>
      </c>
      <c r="G12" s="35">
        <f>+E12*F12</f>
        <v>93000</v>
      </c>
      <c r="I12" s="46">
        <v>15</v>
      </c>
      <c r="K12" s="27">
        <v>0</v>
      </c>
      <c r="L12" s="4">
        <f>+G12*I12</f>
        <v>1395000</v>
      </c>
      <c r="M12" s="4">
        <f t="shared" ref="M12:M19" si="0">(G12+(G12*$G$27))*(I12*$M$8)</f>
        <v>10038420</v>
      </c>
      <c r="N12" s="4">
        <f t="shared" ref="N12:N19" si="1">(G12+(G12*$H$27))*(I12*$N$8)</f>
        <v>21536010</v>
      </c>
      <c r="O12" s="4">
        <f t="shared" ref="O12:O19" si="2">(G12+(G12*$I$27))*(I12*$O$8)</f>
        <v>35893350</v>
      </c>
      <c r="P12" s="28">
        <f t="shared" ref="P12:P19" si="3">(G12+(G12*$J$27))*(I12*$P$8)</f>
        <v>57429360</v>
      </c>
      <c r="Q12" s="227"/>
      <c r="R12" s="227"/>
      <c r="S12" s="227"/>
      <c r="T12" s="216" t="s">
        <v>56</v>
      </c>
      <c r="U12" s="219"/>
      <c r="V12" s="215">
        <v>15</v>
      </c>
      <c r="W12" s="142">
        <f t="shared" ref="W12:W18" si="4">+I12*$M$8</f>
        <v>105</v>
      </c>
      <c r="X12" s="142">
        <f t="shared" ref="X12:X18" si="5">+I12*$N$8</f>
        <v>225</v>
      </c>
      <c r="Y12" s="142">
        <f t="shared" ref="Y12:Y18" si="6">+I12*$O$8</f>
        <v>375</v>
      </c>
      <c r="Z12" s="142">
        <f t="shared" ref="Z12:Z18" si="7">+I12*$P$8</f>
        <v>600</v>
      </c>
    </row>
    <row r="13" spans="2:26" s="105" customFormat="1" x14ac:dyDescent="0.25">
      <c r="C13" s="138" t="s">
        <v>53</v>
      </c>
      <c r="D13" s="121"/>
      <c r="E13" s="128">
        <v>7500000</v>
      </c>
      <c r="F13" s="34">
        <v>0.03</v>
      </c>
      <c r="G13" s="35">
        <f t="shared" ref="G13:G20" si="8">+E13*F13</f>
        <v>225000</v>
      </c>
      <c r="I13" s="46">
        <v>6</v>
      </c>
      <c r="K13" s="27">
        <v>0</v>
      </c>
      <c r="L13" s="4">
        <f>+G13*I13</f>
        <v>1350000</v>
      </c>
      <c r="M13" s="4">
        <f t="shared" si="0"/>
        <v>9714600</v>
      </c>
      <c r="N13" s="4">
        <f t="shared" si="1"/>
        <v>20841300</v>
      </c>
      <c r="O13" s="4">
        <f t="shared" si="2"/>
        <v>34735500</v>
      </c>
      <c r="P13" s="28">
        <f t="shared" si="3"/>
        <v>55576800</v>
      </c>
      <c r="Q13" s="227"/>
      <c r="R13" s="227"/>
      <c r="S13" s="227"/>
      <c r="T13" s="222" t="s">
        <v>53</v>
      </c>
      <c r="U13" s="220"/>
      <c r="V13" s="215">
        <v>6</v>
      </c>
      <c r="W13" s="142">
        <f t="shared" si="4"/>
        <v>42</v>
      </c>
      <c r="X13" s="142">
        <f t="shared" si="5"/>
        <v>90</v>
      </c>
      <c r="Y13" s="142">
        <f t="shared" si="6"/>
        <v>150</v>
      </c>
      <c r="Z13" s="142">
        <f t="shared" si="7"/>
        <v>240</v>
      </c>
    </row>
    <row r="14" spans="2:26" s="105" customFormat="1" x14ac:dyDescent="0.25">
      <c r="C14" s="138" t="s">
        <v>49</v>
      </c>
      <c r="D14" s="121"/>
      <c r="E14" s="128">
        <v>5000000</v>
      </c>
      <c r="F14" s="34">
        <v>0.03</v>
      </c>
      <c r="G14" s="35">
        <f t="shared" si="8"/>
        <v>150000</v>
      </c>
      <c r="I14" s="46">
        <v>3</v>
      </c>
      <c r="K14" s="27">
        <v>0</v>
      </c>
      <c r="L14" s="4">
        <f>+G14*I14</f>
        <v>450000</v>
      </c>
      <c r="M14" s="4">
        <f t="shared" si="0"/>
        <v>3238200</v>
      </c>
      <c r="N14" s="4">
        <f t="shared" si="1"/>
        <v>6947100</v>
      </c>
      <c r="O14" s="4">
        <f t="shared" si="2"/>
        <v>11578500</v>
      </c>
      <c r="P14" s="28">
        <f t="shared" si="3"/>
        <v>18525600</v>
      </c>
      <c r="Q14" s="227"/>
      <c r="R14" s="227"/>
      <c r="S14" s="227"/>
      <c r="T14" s="222" t="s">
        <v>49</v>
      </c>
      <c r="U14" s="219"/>
      <c r="V14" s="215">
        <v>3</v>
      </c>
      <c r="W14" s="142">
        <f t="shared" si="4"/>
        <v>21</v>
      </c>
      <c r="X14" s="142">
        <f t="shared" si="5"/>
        <v>45</v>
      </c>
      <c r="Y14" s="142">
        <f t="shared" si="6"/>
        <v>75</v>
      </c>
      <c r="Z14" s="142">
        <f t="shared" si="7"/>
        <v>120</v>
      </c>
    </row>
    <row r="15" spans="2:26" s="105" customFormat="1" x14ac:dyDescent="0.25">
      <c r="C15" s="138" t="s">
        <v>47</v>
      </c>
      <c r="D15" s="121"/>
      <c r="E15" s="128">
        <f>+(10*3800)*10</f>
        <v>380000</v>
      </c>
      <c r="F15" s="34">
        <v>0.2</v>
      </c>
      <c r="G15" s="35">
        <f t="shared" si="8"/>
        <v>76000</v>
      </c>
      <c r="I15" s="46">
        <v>2</v>
      </c>
      <c r="K15" s="27">
        <v>0</v>
      </c>
      <c r="L15" s="4">
        <f t="shared" ref="L15:L18" si="9">+G15*I15</f>
        <v>152000</v>
      </c>
      <c r="M15" s="4">
        <f t="shared" si="0"/>
        <v>1093792</v>
      </c>
      <c r="N15" s="4">
        <f t="shared" si="1"/>
        <v>2346576</v>
      </c>
      <c r="O15" s="4">
        <f t="shared" si="2"/>
        <v>3910960</v>
      </c>
      <c r="P15" s="28">
        <f t="shared" si="3"/>
        <v>6257536</v>
      </c>
      <c r="Q15" s="227"/>
      <c r="R15" s="227"/>
      <c r="S15" s="227"/>
      <c r="T15" s="218" t="s">
        <v>47</v>
      </c>
      <c r="U15" s="220"/>
      <c r="V15" s="215">
        <v>2</v>
      </c>
      <c r="W15" s="142">
        <f t="shared" si="4"/>
        <v>14</v>
      </c>
      <c r="X15" s="142">
        <f t="shared" si="5"/>
        <v>30</v>
      </c>
      <c r="Y15" s="142">
        <f t="shared" si="6"/>
        <v>50</v>
      </c>
      <c r="Z15" s="142">
        <f t="shared" si="7"/>
        <v>80</v>
      </c>
    </row>
    <row r="16" spans="2:26" s="105" customFormat="1" x14ac:dyDescent="0.25">
      <c r="C16" s="138" t="s">
        <v>50</v>
      </c>
      <c r="D16" s="121"/>
      <c r="E16" s="128">
        <v>2000000</v>
      </c>
      <c r="F16" s="34">
        <v>0.03</v>
      </c>
      <c r="G16" s="35">
        <f t="shared" si="8"/>
        <v>60000</v>
      </c>
      <c r="I16" s="46">
        <v>15</v>
      </c>
      <c r="K16" s="27">
        <v>0</v>
      </c>
      <c r="L16" s="4">
        <f t="shared" si="9"/>
        <v>900000</v>
      </c>
      <c r="M16" s="4">
        <f t="shared" si="0"/>
        <v>6476400</v>
      </c>
      <c r="N16" s="4">
        <f t="shared" si="1"/>
        <v>13894200</v>
      </c>
      <c r="O16" s="4">
        <f t="shared" si="2"/>
        <v>23157000</v>
      </c>
      <c r="P16" s="28">
        <f t="shared" si="3"/>
        <v>37051200</v>
      </c>
      <c r="Q16" s="227"/>
      <c r="R16" s="227"/>
      <c r="S16" s="227"/>
      <c r="T16" s="218" t="s">
        <v>50</v>
      </c>
      <c r="U16" s="219"/>
      <c r="V16" s="215">
        <v>15</v>
      </c>
      <c r="W16" s="142">
        <f t="shared" si="4"/>
        <v>105</v>
      </c>
      <c r="X16" s="142">
        <f t="shared" si="5"/>
        <v>225</v>
      </c>
      <c r="Y16" s="142">
        <f t="shared" si="6"/>
        <v>375</v>
      </c>
      <c r="Z16" s="142">
        <f t="shared" si="7"/>
        <v>600</v>
      </c>
    </row>
    <row r="17" spans="3:26" s="105" customFormat="1" x14ac:dyDescent="0.25">
      <c r="C17" s="138" t="s">
        <v>89</v>
      </c>
      <c r="D17" s="121"/>
      <c r="E17" s="128">
        <v>500000</v>
      </c>
      <c r="F17" s="34"/>
      <c r="G17" s="35">
        <f>+E17</f>
        <v>500000</v>
      </c>
      <c r="I17" s="46">
        <v>2</v>
      </c>
      <c r="K17" s="27">
        <v>0</v>
      </c>
      <c r="L17" s="4">
        <f t="shared" si="9"/>
        <v>1000000</v>
      </c>
      <c r="M17" s="4">
        <f t="shared" si="0"/>
        <v>7196000</v>
      </c>
      <c r="N17" s="4">
        <f t="shared" si="1"/>
        <v>15438000</v>
      </c>
      <c r="O17" s="4">
        <f t="shared" si="2"/>
        <v>25730000</v>
      </c>
      <c r="P17" s="28">
        <f t="shared" si="3"/>
        <v>41168000</v>
      </c>
      <c r="Q17" s="227"/>
      <c r="R17" s="227"/>
      <c r="S17" s="227"/>
      <c r="T17" s="218" t="s">
        <v>89</v>
      </c>
      <c r="U17" s="219"/>
      <c r="V17" s="215">
        <v>2</v>
      </c>
      <c r="W17" s="142">
        <f t="shared" si="4"/>
        <v>14</v>
      </c>
      <c r="X17" s="142">
        <f t="shared" si="5"/>
        <v>30</v>
      </c>
      <c r="Y17" s="142">
        <f t="shared" si="6"/>
        <v>50</v>
      </c>
      <c r="Z17" s="142">
        <f t="shared" si="7"/>
        <v>80</v>
      </c>
    </row>
    <row r="18" spans="3:26" s="105" customFormat="1" x14ac:dyDescent="0.25">
      <c r="C18" s="138" t="s">
        <v>51</v>
      </c>
      <c r="D18" s="129" t="s">
        <v>62</v>
      </c>
      <c r="E18" s="128">
        <v>1000000</v>
      </c>
      <c r="F18" s="34">
        <v>1.4999999999999999E-2</v>
      </c>
      <c r="G18" s="35">
        <f t="shared" si="8"/>
        <v>15000</v>
      </c>
      <c r="I18" s="46">
        <v>15</v>
      </c>
      <c r="K18" s="27">
        <v>0</v>
      </c>
      <c r="L18" s="4">
        <f t="shared" si="9"/>
        <v>225000</v>
      </c>
      <c r="M18" s="4">
        <f t="shared" si="0"/>
        <v>1619100</v>
      </c>
      <c r="N18" s="4">
        <f t="shared" si="1"/>
        <v>3473550</v>
      </c>
      <c r="O18" s="4">
        <f t="shared" si="2"/>
        <v>5789250</v>
      </c>
      <c r="P18" s="28">
        <f t="shared" si="3"/>
        <v>9262800</v>
      </c>
      <c r="Q18" s="227"/>
      <c r="R18" s="227"/>
      <c r="S18" s="227"/>
      <c r="T18" s="130" t="s">
        <v>51</v>
      </c>
      <c r="U18" s="219"/>
      <c r="V18" s="215">
        <v>15</v>
      </c>
      <c r="W18" s="142">
        <f t="shared" si="4"/>
        <v>105</v>
      </c>
      <c r="X18" s="142">
        <f t="shared" si="5"/>
        <v>225</v>
      </c>
      <c r="Y18" s="142">
        <f t="shared" si="6"/>
        <v>375</v>
      </c>
      <c r="Z18" s="142">
        <f t="shared" si="7"/>
        <v>600</v>
      </c>
    </row>
    <row r="19" spans="3:26" s="105" customFormat="1" ht="15.75" thickBot="1" x14ac:dyDescent="0.3">
      <c r="C19" s="138" t="s">
        <v>107</v>
      </c>
      <c r="D19" s="129" t="s">
        <v>62</v>
      </c>
      <c r="E19" s="128">
        <v>1200000</v>
      </c>
      <c r="F19" s="98">
        <v>2.75E-2</v>
      </c>
      <c r="G19" s="35">
        <f t="shared" si="8"/>
        <v>33000</v>
      </c>
      <c r="I19" s="47">
        <f>+I12+I13+I14+I15+I16+I18</f>
        <v>56</v>
      </c>
      <c r="K19" s="29">
        <v>0</v>
      </c>
      <c r="L19" s="30">
        <f>+G19*I19</f>
        <v>1848000</v>
      </c>
      <c r="M19" s="30">
        <f t="shared" si="0"/>
        <v>13298208</v>
      </c>
      <c r="N19" s="30">
        <f t="shared" si="1"/>
        <v>28529424</v>
      </c>
      <c r="O19" s="30">
        <f t="shared" si="2"/>
        <v>47549040</v>
      </c>
      <c r="P19" s="31">
        <f t="shared" si="3"/>
        <v>76078464</v>
      </c>
      <c r="Q19" s="227"/>
      <c r="R19" s="227"/>
      <c r="S19" s="227"/>
      <c r="T19" s="218" t="s">
        <v>107</v>
      </c>
      <c r="U19" s="221"/>
      <c r="V19" s="99">
        <f>+V12+V13+V14+V15+V16+V18</f>
        <v>56</v>
      </c>
      <c r="W19" s="99">
        <f t="shared" ref="W19:Z19" si="10">+W12+W13+W14+W15+W16+W18</f>
        <v>392</v>
      </c>
      <c r="X19" s="99">
        <f t="shared" si="10"/>
        <v>840</v>
      </c>
      <c r="Y19" s="99">
        <f t="shared" si="10"/>
        <v>1400</v>
      </c>
      <c r="Z19" s="99">
        <f t="shared" si="10"/>
        <v>2240</v>
      </c>
    </row>
    <row r="20" spans="3:26" s="105" customFormat="1" ht="15.75" thickBot="1" x14ac:dyDescent="0.3">
      <c r="C20" s="143"/>
      <c r="D20" s="144"/>
      <c r="E20" s="145"/>
      <c r="F20" s="146"/>
      <c r="G20" s="147">
        <f t="shared" si="8"/>
        <v>0</v>
      </c>
      <c r="O20" s="106"/>
      <c r="P20" s="106"/>
      <c r="Q20" s="228"/>
      <c r="R20" s="228"/>
      <c r="S20" s="228"/>
      <c r="T20" s="217"/>
    </row>
    <row r="21" spans="3:26" s="105" customFormat="1" x14ac:dyDescent="0.25">
      <c r="E21" s="106"/>
      <c r="F21" s="148"/>
      <c r="G21" s="106"/>
      <c r="I21" s="149"/>
      <c r="Q21" s="229"/>
      <c r="R21" s="229"/>
      <c r="S21" s="229"/>
      <c r="V21" s="150">
        <f>SUM(V12:V20)</f>
        <v>114</v>
      </c>
      <c r="W21" s="150">
        <f t="shared" ref="W21:Z21" si="11">SUM(W12:W20)</f>
        <v>798</v>
      </c>
      <c r="X21" s="150">
        <f t="shared" si="11"/>
        <v>1710</v>
      </c>
      <c r="Y21" s="150">
        <f t="shared" si="11"/>
        <v>2850</v>
      </c>
      <c r="Z21" s="150">
        <f t="shared" si="11"/>
        <v>4560</v>
      </c>
    </row>
    <row r="22" spans="3:26" s="105" customFormat="1" ht="21.75" customHeight="1" x14ac:dyDescent="0.25">
      <c r="E22" s="106"/>
      <c r="F22" s="148"/>
      <c r="G22" s="106"/>
      <c r="J22" s="237" t="s">
        <v>69</v>
      </c>
      <c r="K22" s="237"/>
      <c r="L22" s="16">
        <f>SUM(L12:L20)</f>
        <v>7320000</v>
      </c>
      <c r="M22" s="16">
        <f>SUM(M12:M20)</f>
        <v>52674720</v>
      </c>
      <c r="N22" s="16">
        <f>SUM(N12:N20)</f>
        <v>113006160</v>
      </c>
      <c r="O22" s="16">
        <f>SUM(O12:O20)</f>
        <v>188343600</v>
      </c>
      <c r="P22" s="16">
        <f>SUM(P12:P20)</f>
        <v>301349760</v>
      </c>
      <c r="Q22" s="230"/>
      <c r="R22" s="230"/>
      <c r="S22" s="230"/>
    </row>
    <row r="23" spans="3:26" s="105" customFormat="1" ht="12.75" customHeight="1" x14ac:dyDescent="0.25">
      <c r="E23" s="106"/>
      <c r="F23" s="107"/>
    </row>
    <row r="24" spans="3:26" s="48" customFormat="1" x14ac:dyDescent="0.25">
      <c r="E24" s="49"/>
      <c r="F24" s="50"/>
    </row>
    <row r="25" spans="3:26" s="105" customFormat="1" ht="15.75" thickBot="1" x14ac:dyDescent="0.3">
      <c r="E25" s="106"/>
      <c r="F25" s="107"/>
      <c r="G25" s="108"/>
    </row>
    <row r="26" spans="3:26" s="105" customFormat="1" x14ac:dyDescent="0.25">
      <c r="E26" s="109"/>
      <c r="F26" s="110"/>
      <c r="G26" s="12">
        <v>2021</v>
      </c>
      <c r="H26" s="12">
        <v>2022</v>
      </c>
      <c r="I26" s="12">
        <v>2023</v>
      </c>
      <c r="J26" s="12">
        <v>2024</v>
      </c>
      <c r="K26" s="13">
        <v>2025</v>
      </c>
    </row>
    <row r="27" spans="3:26" s="105" customFormat="1" ht="15.75" thickBot="1" x14ac:dyDescent="0.3">
      <c r="C27" s="236" t="s">
        <v>104</v>
      </c>
      <c r="E27" s="213" t="s">
        <v>67</v>
      </c>
      <c r="F27" s="214"/>
      <c r="G27" s="111">
        <v>2.8000000000000001E-2</v>
      </c>
      <c r="H27" s="111">
        <v>2.92E-2</v>
      </c>
      <c r="I27" s="111">
        <v>2.92E-2</v>
      </c>
      <c r="J27" s="111">
        <v>2.92E-2</v>
      </c>
      <c r="K27" s="112">
        <v>2.92E-2</v>
      </c>
    </row>
    <row r="28" spans="3:26" s="105" customFormat="1" ht="15.75" thickBot="1" x14ac:dyDescent="0.3">
      <c r="C28" s="236"/>
      <c r="J28" s="105" t="s">
        <v>68</v>
      </c>
    </row>
    <row r="29" spans="3:26" s="105" customFormat="1" ht="15.75" thickBot="1" x14ac:dyDescent="0.3">
      <c r="E29" s="211" t="s">
        <v>109</v>
      </c>
      <c r="F29" s="212"/>
      <c r="G29" s="113">
        <v>0.25</v>
      </c>
    </row>
    <row r="30" spans="3:26" s="105" customFormat="1" ht="15.75" thickBot="1" x14ac:dyDescent="0.3"/>
    <row r="31" spans="3:26" s="105" customFormat="1" ht="15.75" thickBot="1" x14ac:dyDescent="0.3">
      <c r="E31" s="211" t="s">
        <v>72</v>
      </c>
      <c r="F31" s="212"/>
      <c r="G31" s="113">
        <v>0.33</v>
      </c>
    </row>
    <row r="32" spans="3:26" s="105" customFormat="1" ht="15.75" thickBot="1" x14ac:dyDescent="0.3"/>
    <row r="33" spans="3:7" s="105" customFormat="1" ht="15.75" thickBot="1" x14ac:dyDescent="0.3">
      <c r="E33" s="211" t="s">
        <v>88</v>
      </c>
      <c r="F33" s="212"/>
      <c r="G33" s="114">
        <v>140000000</v>
      </c>
    </row>
    <row r="34" spans="3:7" s="105" customFormat="1" x14ac:dyDescent="0.25">
      <c r="E34" s="106"/>
      <c r="F34" s="107"/>
    </row>
    <row r="35" spans="3:7" s="105" customFormat="1" x14ac:dyDescent="0.25">
      <c r="E35" s="106"/>
      <c r="F35" s="107"/>
    </row>
    <row r="36" spans="3:7" s="105" customFormat="1" x14ac:dyDescent="0.25">
      <c r="E36" s="106"/>
      <c r="F36" s="107"/>
    </row>
    <row r="37" spans="3:7" s="105" customFormat="1" x14ac:dyDescent="0.25">
      <c r="E37" s="106"/>
      <c r="F37" s="107"/>
    </row>
    <row r="38" spans="3:7" s="105" customFormat="1" x14ac:dyDescent="0.25">
      <c r="E38" s="106"/>
      <c r="F38" s="107"/>
    </row>
    <row r="39" spans="3:7" s="105" customFormat="1" x14ac:dyDescent="0.25">
      <c r="E39" s="106"/>
      <c r="F39" s="107"/>
    </row>
    <row r="40" spans="3:7" s="105" customFormat="1" x14ac:dyDescent="0.25">
      <c r="E40" s="106"/>
      <c r="F40" s="107"/>
    </row>
    <row r="41" spans="3:7" s="105" customFormat="1" x14ac:dyDescent="0.25">
      <c r="E41" s="106"/>
      <c r="F41" s="107"/>
    </row>
    <row r="42" spans="3:7" s="105" customFormat="1" hidden="1" x14ac:dyDescent="0.25">
      <c r="E42" s="106"/>
      <c r="F42" s="107"/>
    </row>
    <row r="43" spans="3:7" s="105" customFormat="1" hidden="1" x14ac:dyDescent="0.25">
      <c r="E43" s="106"/>
      <c r="F43" s="107"/>
    </row>
    <row r="44" spans="3:7" s="105" customFormat="1" hidden="1" x14ac:dyDescent="0.25">
      <c r="C44" s="115" t="s">
        <v>61</v>
      </c>
      <c r="D44" s="116">
        <v>0.5</v>
      </c>
      <c r="E44" s="106"/>
      <c r="F44" s="107"/>
    </row>
    <row r="45" spans="3:7" s="105" customFormat="1" hidden="1" x14ac:dyDescent="0.25">
      <c r="C45" s="117" t="s">
        <v>59</v>
      </c>
      <c r="D45" s="118">
        <v>1</v>
      </c>
      <c r="E45" s="106"/>
      <c r="F45" s="107"/>
    </row>
    <row r="46" spans="3:7" s="105" customFormat="1" hidden="1" x14ac:dyDescent="0.25">
      <c r="C46" s="119" t="s">
        <v>60</v>
      </c>
      <c r="D46" s="120">
        <v>1.5</v>
      </c>
      <c r="E46" s="106"/>
      <c r="F46" s="107"/>
    </row>
    <row r="47" spans="3:7" s="105" customFormat="1" x14ac:dyDescent="0.25">
      <c r="E47" s="106"/>
      <c r="F47" s="107"/>
    </row>
    <row r="48" spans="3:7" s="105" customFormat="1" x14ac:dyDescent="0.25">
      <c r="E48" s="106"/>
      <c r="F48" s="107"/>
    </row>
    <row r="49" spans="5:6" s="105" customFormat="1" x14ac:dyDescent="0.25">
      <c r="E49" s="106"/>
      <c r="F49" s="107"/>
    </row>
    <row r="50" spans="5:6" s="105" customFormat="1" x14ac:dyDescent="0.25">
      <c r="E50" s="106"/>
      <c r="F50" s="107"/>
    </row>
    <row r="51" spans="5:6" s="105" customFormat="1" x14ac:dyDescent="0.25">
      <c r="E51" s="106"/>
      <c r="F51" s="107"/>
    </row>
    <row r="52" spans="5:6" s="105" customFormat="1" x14ac:dyDescent="0.25">
      <c r="E52" s="106"/>
      <c r="F52" s="107"/>
    </row>
    <row r="53" spans="5:6" s="105" customFormat="1" x14ac:dyDescent="0.25">
      <c r="E53" s="106"/>
      <c r="F53" s="107"/>
    </row>
    <row r="54" spans="5:6" s="105" customFormat="1" x14ac:dyDescent="0.25">
      <c r="E54" s="106"/>
      <c r="F54" s="107"/>
    </row>
    <row r="55" spans="5:6" s="105" customFormat="1" x14ac:dyDescent="0.25">
      <c r="E55" s="106"/>
      <c r="F55" s="107"/>
    </row>
    <row r="56" spans="5:6" s="105" customFormat="1" x14ac:dyDescent="0.25">
      <c r="E56" s="106"/>
      <c r="F56" s="107"/>
    </row>
    <row r="57" spans="5:6" s="105" customFormat="1" x14ac:dyDescent="0.25">
      <c r="E57" s="106"/>
      <c r="F57" s="107"/>
    </row>
    <row r="58" spans="5:6" s="105" customFormat="1" x14ac:dyDescent="0.25">
      <c r="E58" s="106"/>
      <c r="F58" s="107"/>
    </row>
    <row r="59" spans="5:6" s="105" customFormat="1" x14ac:dyDescent="0.25">
      <c r="E59" s="106"/>
      <c r="F59" s="107"/>
    </row>
    <row r="60" spans="5:6" s="105" customFormat="1" x14ac:dyDescent="0.25">
      <c r="E60" s="106"/>
      <c r="F60" s="107"/>
    </row>
    <row r="61" spans="5:6" s="105" customFormat="1" x14ac:dyDescent="0.25">
      <c r="E61" s="106"/>
      <c r="F61" s="107"/>
    </row>
    <row r="62" spans="5:6" s="105" customFormat="1" x14ac:dyDescent="0.25">
      <c r="E62" s="106"/>
      <c r="F62" s="107"/>
    </row>
    <row r="63" spans="5:6" s="105" customFormat="1" x14ac:dyDescent="0.25">
      <c r="E63" s="106"/>
      <c r="F63" s="107"/>
    </row>
    <row r="64" spans="5:6" s="105" customFormat="1" x14ac:dyDescent="0.25">
      <c r="E64" s="106"/>
      <c r="F64" s="107"/>
    </row>
    <row r="65" spans="5:6" s="105" customFormat="1" x14ac:dyDescent="0.25">
      <c r="E65" s="106"/>
      <c r="F65" s="107"/>
    </row>
    <row r="66" spans="5:6" s="105" customFormat="1" x14ac:dyDescent="0.25">
      <c r="E66" s="106"/>
      <c r="F66" s="107"/>
    </row>
    <row r="67" spans="5:6" s="105" customFormat="1" x14ac:dyDescent="0.25">
      <c r="E67" s="106"/>
      <c r="F67" s="107"/>
    </row>
    <row r="68" spans="5:6" s="105" customFormat="1" x14ac:dyDescent="0.25">
      <c r="E68" s="106"/>
      <c r="F68" s="107"/>
    </row>
    <row r="69" spans="5:6" s="105" customFormat="1" x14ac:dyDescent="0.25">
      <c r="E69" s="106"/>
      <c r="F69" s="107"/>
    </row>
    <row r="70" spans="5:6" s="105" customFormat="1" x14ac:dyDescent="0.25">
      <c r="E70" s="106"/>
      <c r="F70" s="107"/>
    </row>
    <row r="71" spans="5:6" s="105" customFormat="1" x14ac:dyDescent="0.25">
      <c r="E71" s="106"/>
      <c r="F71" s="107"/>
    </row>
    <row r="72" spans="5:6" s="105" customFormat="1" x14ac:dyDescent="0.25">
      <c r="E72" s="106"/>
      <c r="F72" s="107"/>
    </row>
    <row r="73" spans="5:6" s="105" customFormat="1" x14ac:dyDescent="0.25">
      <c r="E73" s="106"/>
      <c r="F73" s="107"/>
    </row>
    <row r="74" spans="5:6" s="105" customFormat="1" x14ac:dyDescent="0.25">
      <c r="E74" s="106"/>
      <c r="F74" s="107"/>
    </row>
    <row r="75" spans="5:6" s="105" customFormat="1" x14ac:dyDescent="0.25">
      <c r="E75" s="106"/>
      <c r="F75" s="107"/>
    </row>
    <row r="76" spans="5:6" s="105" customFormat="1" x14ac:dyDescent="0.25">
      <c r="E76" s="106"/>
      <c r="F76" s="107"/>
    </row>
    <row r="77" spans="5:6" s="105" customFormat="1" x14ac:dyDescent="0.25">
      <c r="E77" s="106"/>
      <c r="F77" s="107"/>
    </row>
    <row r="78" spans="5:6" s="105" customFormat="1" x14ac:dyDescent="0.25">
      <c r="E78" s="106"/>
      <c r="F78" s="107"/>
    </row>
    <row r="79" spans="5:6" s="105" customFormat="1" x14ac:dyDescent="0.25">
      <c r="E79" s="106"/>
      <c r="F79" s="107"/>
    </row>
    <row r="80" spans="5:6" s="105" customFormat="1" x14ac:dyDescent="0.25">
      <c r="E80" s="106"/>
      <c r="F80" s="107"/>
    </row>
    <row r="81" spans="5:6" s="105" customFormat="1" x14ac:dyDescent="0.25">
      <c r="E81" s="106"/>
      <c r="F81" s="107"/>
    </row>
    <row r="82" spans="5:6" s="105" customFormat="1" x14ac:dyDescent="0.25">
      <c r="E82" s="106"/>
      <c r="F82" s="107"/>
    </row>
    <row r="83" spans="5:6" s="105" customFormat="1" x14ac:dyDescent="0.25">
      <c r="E83" s="106"/>
      <c r="F83" s="107"/>
    </row>
    <row r="84" spans="5:6" s="105" customFormat="1" x14ac:dyDescent="0.25">
      <c r="E84" s="106"/>
      <c r="F84" s="107"/>
    </row>
    <row r="85" spans="5:6" s="105" customFormat="1" x14ac:dyDescent="0.25">
      <c r="E85" s="106"/>
      <c r="F85" s="107"/>
    </row>
  </sheetData>
  <sheetProtection algorithmName="SHA-512" hashValue="T1h516pAhxVMRxgc2bxGnKwzu51J9YUbuFOouTFMwRxzjvghk+B6Ch15iDYdvn7/APQnGmdGm1x2BDANOmo2IQ==" saltValue="CO8l5uq6ADgtOG1lZMUJcQ==" spinCount="100000" sheet="1" objects="1" scenarios="1" selectLockedCells="1" selectUnlockedCells="1"/>
  <mergeCells count="6">
    <mergeCell ref="T8:U8"/>
    <mergeCell ref="M3:M4"/>
    <mergeCell ref="C27:C28"/>
    <mergeCell ref="J8:K8"/>
    <mergeCell ref="J22:K22"/>
    <mergeCell ref="C8:D8"/>
  </mergeCells>
  <dataValidations count="1">
    <dataValidation type="list" allowBlank="1" showInputMessage="1" showErrorMessage="1" sqref="C5">
      <formula1>$C$44:$C$46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48"/>
  <sheetViews>
    <sheetView topLeftCell="A4" zoomScale="80" zoomScaleNormal="80" workbookViewId="0">
      <selection sqref="A1:XFD1048576"/>
    </sheetView>
  </sheetViews>
  <sheetFormatPr baseColWidth="10" defaultRowHeight="15" x14ac:dyDescent="0.25"/>
  <cols>
    <col min="1" max="1" width="12.7109375" style="105" customWidth="1"/>
    <col min="2" max="2" width="7.85546875" style="105" customWidth="1"/>
    <col min="3" max="3" width="34.42578125" style="105" customWidth="1"/>
    <col min="4" max="4" width="16.140625" style="105" customWidth="1"/>
    <col min="5" max="5" width="17" style="105" customWidth="1"/>
    <col min="6" max="6" width="17.28515625" style="105" customWidth="1"/>
    <col min="7" max="7" width="17" style="105" customWidth="1"/>
    <col min="8" max="8" width="17.42578125" style="105" customWidth="1"/>
    <col min="9" max="9" width="17.85546875" style="105" customWidth="1"/>
    <col min="10" max="10" width="5.85546875" style="105" customWidth="1"/>
    <col min="11" max="11" width="36.5703125" style="105" customWidth="1"/>
    <col min="12" max="12" width="69.85546875" style="105" customWidth="1"/>
    <col min="13" max="13" width="15" style="105" bestFit="1" customWidth="1"/>
    <col min="14" max="14" width="11.5703125" style="105" bestFit="1" customWidth="1"/>
    <col min="15" max="15" width="15" style="105" bestFit="1" customWidth="1"/>
    <col min="16" max="16384" width="11.42578125" style="105"/>
  </cols>
  <sheetData>
    <row r="1" spans="2:15" ht="15.75" thickBot="1" x14ac:dyDescent="0.3"/>
    <row r="2" spans="2:15" ht="15.75" thickBot="1" x14ac:dyDescent="0.3">
      <c r="B2" s="109"/>
      <c r="C2" s="110"/>
      <c r="D2" s="110"/>
      <c r="E2" s="110"/>
      <c r="F2" s="110"/>
      <c r="G2" s="110"/>
      <c r="H2" s="110"/>
      <c r="I2" s="110"/>
      <c r="J2" s="161"/>
    </row>
    <row r="3" spans="2:15" ht="30" customHeight="1" x14ac:dyDescent="0.25">
      <c r="B3" s="138"/>
      <c r="C3" s="238" t="s">
        <v>80</v>
      </c>
      <c r="D3" s="239"/>
      <c r="E3" s="239"/>
      <c r="F3" s="239"/>
      <c r="G3" s="239"/>
      <c r="H3" s="239"/>
      <c r="I3" s="240"/>
      <c r="J3" s="139"/>
    </row>
    <row r="4" spans="2:15" x14ac:dyDescent="0.25">
      <c r="B4" s="138"/>
      <c r="C4" s="36"/>
      <c r="D4" s="9">
        <v>2020</v>
      </c>
      <c r="E4" s="9">
        <v>2021</v>
      </c>
      <c r="F4" s="9">
        <v>2022</v>
      </c>
      <c r="G4" s="9">
        <v>2023</v>
      </c>
      <c r="H4" s="9">
        <v>2024</v>
      </c>
      <c r="I4" s="37">
        <v>2025</v>
      </c>
      <c r="J4" s="139"/>
    </row>
    <row r="5" spans="2:15" x14ac:dyDescent="0.25">
      <c r="B5" s="138"/>
      <c r="C5" s="38" t="s">
        <v>0</v>
      </c>
      <c r="D5" s="63"/>
      <c r="E5" s="63">
        <v>14000000</v>
      </c>
      <c r="F5" s="63"/>
      <c r="G5" s="63"/>
      <c r="H5" s="63"/>
      <c r="I5" s="64"/>
      <c r="J5" s="139"/>
    </row>
    <row r="6" spans="2:15" x14ac:dyDescent="0.25">
      <c r="B6" s="138"/>
      <c r="C6" s="38" t="s">
        <v>93</v>
      </c>
      <c r="D6" s="63"/>
      <c r="E6" s="63">
        <f>700000*12</f>
        <v>8400000</v>
      </c>
      <c r="F6" s="63">
        <f>E6+E6*' Ingresos y Datos de Entrada'!G27</f>
        <v>8635200</v>
      </c>
      <c r="G6" s="63">
        <f>F6+F6*' Ingresos y Datos de Entrada'!H27</f>
        <v>8887347.8399999999</v>
      </c>
      <c r="H6" s="63">
        <f>G6+G6*' Ingresos y Datos de Entrada'!I27</f>
        <v>9146858.3969279993</v>
      </c>
      <c r="I6" s="64">
        <f>H6+H6*' Ingresos y Datos de Entrada'!J27</f>
        <v>9413946.6621182971</v>
      </c>
      <c r="J6" s="139"/>
      <c r="N6" s="106"/>
      <c r="O6" s="106"/>
    </row>
    <row r="7" spans="2:15" x14ac:dyDescent="0.25">
      <c r="B7" s="138"/>
      <c r="C7" s="38" t="s">
        <v>87</v>
      </c>
      <c r="D7" s="63"/>
      <c r="E7" s="63">
        <v>130000</v>
      </c>
      <c r="F7" s="63"/>
      <c r="G7" s="63">
        <f>140000+140000*' Ingresos y Datos de Entrada'!H27</f>
        <v>144088</v>
      </c>
      <c r="H7" s="63"/>
      <c r="I7" s="64">
        <f>140000+140000*' Ingresos y Datos de Entrada'!J27</f>
        <v>144088</v>
      </c>
      <c r="J7" s="139"/>
      <c r="N7" s="106"/>
      <c r="O7" s="106"/>
    </row>
    <row r="8" spans="2:15" x14ac:dyDescent="0.25">
      <c r="B8" s="138"/>
      <c r="C8" s="38" t="s">
        <v>1</v>
      </c>
      <c r="D8" s="63"/>
      <c r="E8" s="63">
        <f>350000*12</f>
        <v>4200000</v>
      </c>
      <c r="F8" s="63">
        <f>E8+(E8*' Ingresos y Datos de Entrada'!G27)</f>
        <v>4317600</v>
      </c>
      <c r="G8" s="63">
        <f>F8+(F8*' Ingresos y Datos de Entrada'!H27)</f>
        <v>4443673.92</v>
      </c>
      <c r="H8" s="63">
        <f>G8+(G8*' Ingresos y Datos de Entrada'!I27)</f>
        <v>4573429.1984639997</v>
      </c>
      <c r="I8" s="64">
        <f>H8+(H8*' Ingresos y Datos de Entrada'!J27)</f>
        <v>4706973.3310591485</v>
      </c>
      <c r="J8" s="139"/>
    </row>
    <row r="9" spans="2:15" x14ac:dyDescent="0.25">
      <c r="B9" s="138"/>
      <c r="C9" s="39"/>
      <c r="D9" s="63"/>
      <c r="E9" s="63"/>
      <c r="F9" s="63"/>
      <c r="G9" s="63"/>
      <c r="H9" s="63"/>
      <c r="I9" s="64"/>
      <c r="J9" s="139"/>
    </row>
    <row r="10" spans="2:15" x14ac:dyDescent="0.25">
      <c r="B10" s="138"/>
      <c r="C10" s="151"/>
      <c r="D10" s="63"/>
      <c r="E10" s="128"/>
      <c r="F10" s="63"/>
      <c r="G10" s="63"/>
      <c r="H10" s="63"/>
      <c r="I10" s="152"/>
      <c r="J10" s="139"/>
    </row>
    <row r="11" spans="2:15" ht="15.75" thickBot="1" x14ac:dyDescent="0.3">
      <c r="B11" s="138"/>
      <c r="C11" s="40" t="s">
        <v>2</v>
      </c>
      <c r="D11" s="65"/>
      <c r="E11" s="65">
        <f>SUM(E5:E9)</f>
        <v>26730000</v>
      </c>
      <c r="F11" s="65">
        <f>SUM(F5:F9)</f>
        <v>12952800</v>
      </c>
      <c r="G11" s="65">
        <f>SUM(G5:G9)</f>
        <v>13475109.76</v>
      </c>
      <c r="H11" s="65">
        <f>SUM(H5:H9)</f>
        <v>13720287.595392</v>
      </c>
      <c r="I11" s="66">
        <f>SUM(I5:I9)</f>
        <v>14265007.993177446</v>
      </c>
      <c r="J11" s="139"/>
    </row>
    <row r="12" spans="2:15" x14ac:dyDescent="0.25">
      <c r="B12" s="138"/>
      <c r="C12" s="121"/>
      <c r="D12" s="121"/>
      <c r="E12" s="121"/>
      <c r="F12" s="121"/>
      <c r="G12" s="121"/>
      <c r="H12" s="121"/>
      <c r="I12" s="121"/>
      <c r="J12" s="139"/>
    </row>
    <row r="13" spans="2:15" ht="15.75" thickBot="1" x14ac:dyDescent="0.3">
      <c r="B13" s="138"/>
      <c r="C13" s="121"/>
      <c r="D13" s="121"/>
      <c r="E13" s="121"/>
      <c r="F13" s="121"/>
      <c r="G13" s="121"/>
      <c r="H13" s="121"/>
      <c r="I13" s="121"/>
      <c r="J13" s="139"/>
    </row>
    <row r="14" spans="2:15" ht="24" customHeight="1" x14ac:dyDescent="0.25">
      <c r="B14" s="138"/>
      <c r="C14" s="238" t="s">
        <v>81</v>
      </c>
      <c r="D14" s="239"/>
      <c r="E14" s="239"/>
      <c r="F14" s="239"/>
      <c r="G14" s="239"/>
      <c r="H14" s="239"/>
      <c r="I14" s="240"/>
      <c r="J14" s="139"/>
    </row>
    <row r="15" spans="2:15" x14ac:dyDescent="0.25">
      <c r="B15" s="138"/>
      <c r="C15" s="36"/>
      <c r="D15" s="9">
        <v>2020</v>
      </c>
      <c r="E15" s="9">
        <v>2021</v>
      </c>
      <c r="F15" s="9">
        <v>2022</v>
      </c>
      <c r="G15" s="9">
        <v>2023</v>
      </c>
      <c r="H15" s="9">
        <v>2024</v>
      </c>
      <c r="I15" s="37">
        <v>2025</v>
      </c>
      <c r="J15" s="139"/>
    </row>
    <row r="16" spans="2:15" x14ac:dyDescent="0.25">
      <c r="B16" s="138"/>
      <c r="C16" s="39" t="s">
        <v>3</v>
      </c>
      <c r="D16" s="5"/>
      <c r="E16" s="54">
        <v>5000000</v>
      </c>
      <c r="F16" s="54">
        <f>+E16-(E16*5%)</f>
        <v>4750000</v>
      </c>
      <c r="G16" s="54">
        <f t="shared" ref="G16:I16" si="0">+F16-(F16*5%)</f>
        <v>4512500</v>
      </c>
      <c r="H16" s="54">
        <f t="shared" si="0"/>
        <v>4286875</v>
      </c>
      <c r="I16" s="69">
        <f t="shared" si="0"/>
        <v>4072531.25</v>
      </c>
      <c r="J16" s="139"/>
      <c r="K16" s="105" t="s">
        <v>119</v>
      </c>
    </row>
    <row r="17" spans="2:13" x14ac:dyDescent="0.25">
      <c r="B17" s="138"/>
      <c r="C17" s="39" t="s">
        <v>63</v>
      </c>
      <c r="D17" s="5"/>
      <c r="E17" s="54">
        <v>4000000</v>
      </c>
      <c r="F17" s="54">
        <f>+E17-(E17*10%)</f>
        <v>3600000</v>
      </c>
      <c r="G17" s="54">
        <f t="shared" ref="G17:I17" si="1">+F17-(F17*10%)</f>
        <v>3240000</v>
      </c>
      <c r="H17" s="54">
        <f t="shared" si="1"/>
        <v>2916000</v>
      </c>
      <c r="I17" s="69">
        <f t="shared" si="1"/>
        <v>2624400</v>
      </c>
      <c r="J17" s="139"/>
      <c r="K17" s="105" t="s">
        <v>120</v>
      </c>
    </row>
    <row r="18" spans="2:13" x14ac:dyDescent="0.25">
      <c r="B18" s="138"/>
      <c r="C18" s="41" t="s">
        <v>86</v>
      </c>
      <c r="D18" s="5"/>
      <c r="E18" s="55">
        <f>E16+E17</f>
        <v>9000000</v>
      </c>
      <c r="F18" s="55">
        <f>F16+F17</f>
        <v>8350000</v>
      </c>
      <c r="G18" s="55">
        <f>G16+G17</f>
        <v>7752500</v>
      </c>
      <c r="H18" s="55">
        <f>H16+H17</f>
        <v>7202875</v>
      </c>
      <c r="I18" s="70">
        <f>I16+I17</f>
        <v>6696931.25</v>
      </c>
      <c r="J18" s="139"/>
    </row>
    <row r="19" spans="2:13" x14ac:dyDescent="0.25">
      <c r="B19" s="138"/>
      <c r="C19" s="41"/>
      <c r="D19" s="7"/>
      <c r="E19" s="55"/>
      <c r="F19" s="55"/>
      <c r="G19" s="55"/>
      <c r="H19" s="55"/>
      <c r="I19" s="70"/>
      <c r="J19" s="139"/>
    </row>
    <row r="20" spans="2:13" x14ac:dyDescent="0.25">
      <c r="B20" s="138"/>
      <c r="C20" s="1" t="s">
        <v>55</v>
      </c>
      <c r="D20" s="6"/>
      <c r="E20" s="54">
        <f>600000*12</f>
        <v>7200000</v>
      </c>
      <c r="F20" s="54">
        <f>E20+(E20*' Ingresos y Datos de Entrada'!G27)</f>
        <v>7401600</v>
      </c>
      <c r="G20" s="54">
        <f>F20+(F20*' Ingresos y Datos de Entrada'!H27)</f>
        <v>7617726.7199999997</v>
      </c>
      <c r="H20" s="54">
        <f>G20+(G20*' Ingresos y Datos de Entrada'!I27)</f>
        <v>7840164.3402239997</v>
      </c>
      <c r="I20" s="69">
        <f>H20+(H20*' Ingresos y Datos de Entrada'!J27)</f>
        <v>8069097.1389585407</v>
      </c>
      <c r="J20" s="139"/>
    </row>
    <row r="21" spans="2:13" x14ac:dyDescent="0.25">
      <c r="B21" s="138"/>
      <c r="C21" s="39" t="s">
        <v>54</v>
      </c>
      <c r="D21" s="6"/>
      <c r="E21" s="54">
        <f>350000*12</f>
        <v>4200000</v>
      </c>
      <c r="F21" s="54">
        <f>E21+(E21*' Ingresos y Datos de Entrada'!H27)</f>
        <v>4322640</v>
      </c>
      <c r="G21" s="54">
        <f>F21+(F21*' Ingresos y Datos de Entrada'!I27)</f>
        <v>4448861.0880000005</v>
      </c>
      <c r="H21" s="54">
        <f>G21+(G21*' Ingresos y Datos de Entrada'!J27)</f>
        <v>4578767.8317696005</v>
      </c>
      <c r="I21" s="69">
        <f>H21+(H21*' Ingresos y Datos de Entrada'!K27)</f>
        <v>4712467.8524572728</v>
      </c>
      <c r="J21" s="139"/>
    </row>
    <row r="22" spans="2:13" x14ac:dyDescent="0.25">
      <c r="B22" s="138"/>
      <c r="C22" s="39" t="s">
        <v>64</v>
      </c>
      <c r="D22" s="6"/>
      <c r="E22" s="54">
        <f>+E42</f>
        <v>40300000</v>
      </c>
      <c r="F22" s="54">
        <f t="shared" ref="F22:I22" si="2">+F42</f>
        <v>55078400</v>
      </c>
      <c r="G22" s="54">
        <f t="shared" si="2"/>
        <v>56686689.280000001</v>
      </c>
      <c r="H22" s="54">
        <f t="shared" si="2"/>
        <v>58341940.606975995</v>
      </c>
      <c r="I22" s="69">
        <f t="shared" si="2"/>
        <v>60045525.272699691</v>
      </c>
      <c r="J22" s="139"/>
    </row>
    <row r="23" spans="2:13" x14ac:dyDescent="0.25">
      <c r="B23" s="138"/>
      <c r="C23" s="41" t="s">
        <v>4</v>
      </c>
      <c r="D23" s="7"/>
      <c r="E23" s="55">
        <f>SUM(E20:E22)</f>
        <v>51700000</v>
      </c>
      <c r="F23" s="55">
        <f>SUM(F20:F22)</f>
        <v>66802640</v>
      </c>
      <c r="G23" s="55">
        <f t="shared" ref="G23:I23" si="3">SUM(G20:G22)</f>
        <v>68753277.088</v>
      </c>
      <c r="H23" s="55">
        <f t="shared" si="3"/>
        <v>70760872.778969601</v>
      </c>
      <c r="I23" s="70">
        <f t="shared" si="3"/>
        <v>72827090.264115512</v>
      </c>
      <c r="J23" s="139"/>
      <c r="M23" s="106"/>
    </row>
    <row r="24" spans="2:13" x14ac:dyDescent="0.25">
      <c r="B24" s="138"/>
      <c r="C24" s="153"/>
      <c r="D24" s="121"/>
      <c r="E24" s="128"/>
      <c r="F24" s="128"/>
      <c r="G24" s="128"/>
      <c r="H24" s="128"/>
      <c r="I24" s="152"/>
      <c r="J24" s="139"/>
      <c r="M24" s="106"/>
    </row>
    <row r="25" spans="2:13" ht="15.75" thickBot="1" x14ac:dyDescent="0.3">
      <c r="B25" s="138"/>
      <c r="C25" s="42" t="s">
        <v>5</v>
      </c>
      <c r="D25" s="43"/>
      <c r="E25" s="67">
        <f>+E18+E23</f>
        <v>60700000</v>
      </c>
      <c r="F25" s="67">
        <f t="shared" ref="F25:I25" si="4">+F18+F23</f>
        <v>75152640</v>
      </c>
      <c r="G25" s="67">
        <f t="shared" si="4"/>
        <v>76505777.088</v>
      </c>
      <c r="H25" s="67">
        <f t="shared" si="4"/>
        <v>77963747.778969601</v>
      </c>
      <c r="I25" s="68">
        <f t="shared" si="4"/>
        <v>79524021.514115512</v>
      </c>
      <c r="J25" s="139"/>
      <c r="M25" s="106"/>
    </row>
    <row r="26" spans="2:13" ht="15.75" thickBot="1" x14ac:dyDescent="0.3">
      <c r="B26" s="143"/>
      <c r="C26" s="144"/>
      <c r="D26" s="144"/>
      <c r="E26" s="144"/>
      <c r="F26" s="144"/>
      <c r="G26" s="144"/>
      <c r="H26" s="144"/>
      <c r="I26" s="144"/>
      <c r="J26" s="168"/>
      <c r="M26" s="106"/>
    </row>
    <row r="27" spans="2:13" x14ac:dyDescent="0.25">
      <c r="M27" s="106"/>
    </row>
    <row r="28" spans="2:13" ht="15.75" thickBot="1" x14ac:dyDescent="0.3">
      <c r="M28" s="106"/>
    </row>
    <row r="29" spans="2:13" ht="25.5" customHeight="1" x14ac:dyDescent="0.25">
      <c r="C29" s="241" t="s">
        <v>65</v>
      </c>
      <c r="D29" s="242"/>
      <c r="E29" s="242"/>
      <c r="F29" s="242"/>
      <c r="G29" s="242"/>
      <c r="H29" s="242"/>
      <c r="I29" s="243"/>
      <c r="M29" s="106"/>
    </row>
    <row r="30" spans="2:13" x14ac:dyDescent="0.25">
      <c r="C30" s="74"/>
      <c r="D30" s="44">
        <v>2020</v>
      </c>
      <c r="E30" s="44">
        <v>2021</v>
      </c>
      <c r="F30" s="44">
        <v>2022</v>
      </c>
      <c r="G30" s="44">
        <v>2023</v>
      </c>
      <c r="H30" s="44">
        <v>2024</v>
      </c>
      <c r="I30" s="75">
        <v>2025</v>
      </c>
    </row>
    <row r="31" spans="2:13" x14ac:dyDescent="0.25">
      <c r="C31" s="74"/>
      <c r="D31" s="44"/>
      <c r="E31" s="44"/>
      <c r="F31" s="44"/>
      <c r="G31" s="44"/>
      <c r="H31" s="44"/>
      <c r="I31" s="75"/>
    </row>
    <row r="32" spans="2:13" x14ac:dyDescent="0.25">
      <c r="C32" s="76"/>
      <c r="D32" s="121"/>
      <c r="E32" s="8"/>
      <c r="F32" s="8"/>
      <c r="G32" s="8"/>
      <c r="H32" s="8"/>
      <c r="I32" s="77"/>
    </row>
    <row r="33" spans="3:9" x14ac:dyDescent="0.25">
      <c r="C33" s="78" t="s">
        <v>92</v>
      </c>
      <c r="D33" s="121"/>
      <c r="E33" s="71">
        <f>1600000*13</f>
        <v>20800000</v>
      </c>
      <c r="F33" s="72">
        <f>E33+E33*' Ingresos y Datos de Entrada'!G27</f>
        <v>21382400</v>
      </c>
      <c r="G33" s="72">
        <f>F33+F33*' Ingresos y Datos de Entrada'!H27</f>
        <v>22006766.079999998</v>
      </c>
      <c r="H33" s="72">
        <f>G33+G33*' Ingresos y Datos de Entrada'!I27</f>
        <v>22649363.649535999</v>
      </c>
      <c r="I33" s="79">
        <f>H33+H33*' Ingresos y Datos de Entrada'!J27</f>
        <v>23310725.068102449</v>
      </c>
    </row>
    <row r="34" spans="3:9" x14ac:dyDescent="0.25">
      <c r="C34" s="80"/>
      <c r="D34" s="121"/>
      <c r="E34" s="73"/>
      <c r="F34" s="73"/>
      <c r="G34" s="73"/>
      <c r="H34" s="73"/>
      <c r="I34" s="81"/>
    </row>
    <row r="35" spans="3:9" x14ac:dyDescent="0.25">
      <c r="C35" s="82" t="s">
        <v>85</v>
      </c>
      <c r="D35" s="121"/>
      <c r="E35" s="71">
        <v>0</v>
      </c>
      <c r="F35" s="71">
        <f>1050000*13</f>
        <v>13650000</v>
      </c>
      <c r="G35" s="72">
        <f>F35+F35*' Ingresos y Datos de Entrada'!H27</f>
        <v>14048580</v>
      </c>
      <c r="H35" s="72">
        <f>G35+G35*' Ingresos y Datos de Entrada'!I27</f>
        <v>14458798.536</v>
      </c>
      <c r="I35" s="79">
        <f>H35+H35*' Ingresos y Datos de Entrada'!J27</f>
        <v>14880995.4532512</v>
      </c>
    </row>
    <row r="36" spans="3:9" x14ac:dyDescent="0.25">
      <c r="C36" s="76"/>
      <c r="D36" s="121"/>
      <c r="E36" s="71"/>
      <c r="F36" s="71"/>
      <c r="G36" s="71"/>
      <c r="H36" s="71"/>
      <c r="I36" s="83"/>
    </row>
    <row r="37" spans="3:9" x14ac:dyDescent="0.25">
      <c r="C37" s="78" t="s">
        <v>6</v>
      </c>
      <c r="D37" s="154"/>
      <c r="E37" s="71">
        <f>1500000*13</f>
        <v>19500000</v>
      </c>
      <c r="F37" s="72">
        <f>E37+E37*' Ingresos y Datos de Entrada'!G27</f>
        <v>20046000</v>
      </c>
      <c r="G37" s="72">
        <f>F37+F37*' Ingresos y Datos de Entrada'!H27</f>
        <v>20631343.199999999</v>
      </c>
      <c r="H37" s="72">
        <f>G37+G37*' Ingresos y Datos de Entrada'!I27</f>
        <v>21233778.421439998</v>
      </c>
      <c r="I37" s="79">
        <f>H37+H37*' Ingresos y Datos de Entrada'!J27</f>
        <v>21853804.751346044</v>
      </c>
    </row>
    <row r="38" spans="3:9" x14ac:dyDescent="0.25">
      <c r="C38" s="76"/>
      <c r="D38" s="121"/>
      <c r="E38" s="71"/>
      <c r="F38" s="71"/>
      <c r="G38" s="71"/>
      <c r="H38" s="71"/>
      <c r="I38" s="83"/>
    </row>
    <row r="39" spans="3:9" x14ac:dyDescent="0.25">
      <c r="C39" s="78" t="s">
        <v>7</v>
      </c>
      <c r="D39" s="121"/>
      <c r="E39" s="71">
        <f>0*12</f>
        <v>0</v>
      </c>
      <c r="F39" s="72">
        <f>E39+E39*' Ingresos y Datos de Entrada'!G27</f>
        <v>0</v>
      </c>
      <c r="G39" s="72">
        <f>F39+F39*' Ingresos y Datos de Entrada'!H27</f>
        <v>0</v>
      </c>
      <c r="H39" s="72">
        <f>G39+G39*' Ingresos y Datos de Entrada'!I27</f>
        <v>0</v>
      </c>
      <c r="I39" s="79">
        <f>H39+H39*' Ingresos y Datos de Entrada'!J27</f>
        <v>0</v>
      </c>
    </row>
    <row r="40" spans="3:9" x14ac:dyDescent="0.25">
      <c r="C40" s="153"/>
      <c r="D40" s="121"/>
      <c r="E40" s="155"/>
      <c r="F40" s="155"/>
      <c r="G40" s="155"/>
      <c r="H40" s="155"/>
      <c r="I40" s="156"/>
    </row>
    <row r="41" spans="3:9" x14ac:dyDescent="0.25">
      <c r="C41" s="153"/>
      <c r="D41" s="121"/>
      <c r="E41" s="157"/>
      <c r="F41" s="157"/>
      <c r="G41" s="157"/>
      <c r="H41" s="157"/>
      <c r="I41" s="158"/>
    </row>
    <row r="42" spans="3:9" ht="15.75" thickBot="1" x14ac:dyDescent="0.3">
      <c r="C42" s="42" t="s">
        <v>8</v>
      </c>
      <c r="D42" s="43"/>
      <c r="E42" s="67">
        <f>E33+E35+E37+E39</f>
        <v>40300000</v>
      </c>
      <c r="F42" s="67">
        <f>F33+F35+F37+F39</f>
        <v>55078400</v>
      </c>
      <c r="G42" s="67">
        <f>G33+G35+G37+G39</f>
        <v>56686689.280000001</v>
      </c>
      <c r="H42" s="67">
        <f>H33+H35+H37+H39</f>
        <v>58341940.606975995</v>
      </c>
      <c r="I42" s="68">
        <f>I33+I35+I37+I39</f>
        <v>60045525.272699691</v>
      </c>
    </row>
    <row r="43" spans="3:9" x14ac:dyDescent="0.25">
      <c r="C43" s="159"/>
      <c r="D43" s="159"/>
      <c r="E43" s="159"/>
      <c r="F43" s="159"/>
      <c r="G43" s="159"/>
      <c r="H43" s="159"/>
      <c r="I43" s="159"/>
    </row>
    <row r="48" spans="3:9" x14ac:dyDescent="0.25">
      <c r="E48" s="160"/>
    </row>
  </sheetData>
  <sheetProtection algorithmName="SHA-512" hashValue="EFaLSzjX3yjm318BYabZw1nFu8/WAZjmvezac8ro4kI6EHkojgMLV1nu0+CcQGYnoEbgdMIqzOL+ZCZsmohbgQ==" saltValue="4yqpLIjK6372uVID8DJ7jg==" spinCount="100000" sheet="1" objects="1" scenarios="1" selectLockedCells="1" selectUnlockedCells="1"/>
  <mergeCells count="3">
    <mergeCell ref="C3:I3"/>
    <mergeCell ref="C14:I14"/>
    <mergeCell ref="C29:I2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6.7109375" style="105" customWidth="1"/>
    <col min="2" max="2" width="11.42578125" style="105"/>
    <col min="3" max="3" width="38.28515625" style="105" customWidth="1"/>
    <col min="4" max="4" width="15.140625" style="105" customWidth="1"/>
    <col min="5" max="9" width="15" style="105" bestFit="1" customWidth="1"/>
    <col min="10" max="10" width="13.42578125" style="105" customWidth="1"/>
    <col min="11" max="16384" width="11.42578125" style="105"/>
  </cols>
  <sheetData>
    <row r="1" spans="2:10" ht="15.75" thickBot="1" x14ac:dyDescent="0.3"/>
    <row r="2" spans="2:10" x14ac:dyDescent="0.25">
      <c r="B2" s="109"/>
      <c r="C2" s="110"/>
      <c r="D2" s="110"/>
      <c r="E2" s="110"/>
      <c r="F2" s="110"/>
      <c r="G2" s="110"/>
      <c r="H2" s="110"/>
      <c r="I2" s="110"/>
      <c r="J2" s="161"/>
    </row>
    <row r="3" spans="2:10" ht="15.75" thickBot="1" x14ac:dyDescent="0.3">
      <c r="B3" s="138"/>
      <c r="C3" s="121"/>
      <c r="D3" s="121"/>
      <c r="E3" s="121"/>
      <c r="F3" s="121"/>
      <c r="G3" s="121"/>
      <c r="H3" s="121"/>
      <c r="I3" s="121"/>
      <c r="J3" s="139"/>
    </row>
    <row r="4" spans="2:10" ht="24.75" customHeight="1" x14ac:dyDescent="0.25">
      <c r="B4" s="138"/>
      <c r="C4" s="238" t="s">
        <v>79</v>
      </c>
      <c r="D4" s="239"/>
      <c r="E4" s="239"/>
      <c r="F4" s="239"/>
      <c r="G4" s="239"/>
      <c r="H4" s="239"/>
      <c r="I4" s="240"/>
      <c r="J4" s="139"/>
    </row>
    <row r="5" spans="2:10" x14ac:dyDescent="0.25">
      <c r="B5" s="138"/>
      <c r="C5" s="162"/>
      <c r="D5" s="163"/>
      <c r="E5" s="163"/>
      <c r="F5" s="163"/>
      <c r="G5" s="163"/>
      <c r="H5" s="163"/>
      <c r="I5" s="164"/>
      <c r="J5" s="139"/>
    </row>
    <row r="6" spans="2:10" x14ac:dyDescent="0.25">
      <c r="B6" s="138"/>
      <c r="C6" s="53" t="s">
        <v>74</v>
      </c>
      <c r="D6" s="9">
        <v>2020</v>
      </c>
      <c r="E6" s="9">
        <v>2021</v>
      </c>
      <c r="F6" s="9">
        <v>2022</v>
      </c>
      <c r="G6" s="9">
        <v>2023</v>
      </c>
      <c r="H6" s="9">
        <v>2024</v>
      </c>
      <c r="I6" s="37">
        <v>2025</v>
      </c>
      <c r="J6" s="139"/>
    </row>
    <row r="7" spans="2:10" x14ac:dyDescent="0.25">
      <c r="B7" s="138"/>
      <c r="C7" s="138"/>
      <c r="D7" s="121"/>
      <c r="E7" s="121"/>
      <c r="F7" s="121"/>
      <c r="G7" s="121"/>
      <c r="H7" s="121"/>
      <c r="I7" s="139"/>
      <c r="J7" s="139"/>
    </row>
    <row r="8" spans="2:10" x14ac:dyDescent="0.25">
      <c r="B8" s="138"/>
      <c r="C8" s="165" t="s">
        <v>82</v>
      </c>
      <c r="D8" s="166">
        <v>5500000</v>
      </c>
      <c r="E8" s="166"/>
      <c r="F8" s="166"/>
      <c r="G8" s="166"/>
      <c r="H8" s="166"/>
      <c r="I8" s="167"/>
      <c r="J8" s="139"/>
    </row>
    <row r="9" spans="2:10" x14ac:dyDescent="0.25">
      <c r="B9" s="138"/>
      <c r="C9" s="153"/>
      <c r="D9" s="128"/>
      <c r="E9" s="128"/>
      <c r="F9" s="128"/>
      <c r="G9" s="128"/>
      <c r="H9" s="128"/>
      <c r="I9" s="152"/>
      <c r="J9" s="139"/>
    </row>
    <row r="10" spans="2:10" x14ac:dyDescent="0.25">
      <c r="B10" s="138"/>
      <c r="C10" s="165"/>
      <c r="D10" s="166"/>
      <c r="E10" s="166"/>
      <c r="F10" s="166"/>
      <c r="G10" s="166"/>
      <c r="H10" s="166"/>
      <c r="I10" s="167"/>
      <c r="J10" s="139"/>
    </row>
    <row r="11" spans="2:10" ht="15.75" thickBot="1" x14ac:dyDescent="0.3">
      <c r="B11" s="138"/>
      <c r="C11" s="42" t="s">
        <v>75</v>
      </c>
      <c r="D11" s="67">
        <f>+D8</f>
        <v>5500000</v>
      </c>
      <c r="E11" s="67">
        <f>E8</f>
        <v>0</v>
      </c>
      <c r="F11" s="67">
        <f t="shared" ref="F11:I11" si="0">F8</f>
        <v>0</v>
      </c>
      <c r="G11" s="67">
        <f t="shared" si="0"/>
        <v>0</v>
      </c>
      <c r="H11" s="67">
        <f t="shared" si="0"/>
        <v>0</v>
      </c>
      <c r="I11" s="67">
        <f t="shared" si="0"/>
        <v>0</v>
      </c>
      <c r="J11" s="139"/>
    </row>
    <row r="12" spans="2:10" x14ac:dyDescent="0.25">
      <c r="B12" s="138"/>
      <c r="C12" s="121"/>
      <c r="D12" s="121"/>
      <c r="E12" s="121"/>
      <c r="F12" s="121"/>
      <c r="G12" s="121"/>
      <c r="H12" s="121"/>
      <c r="I12" s="121"/>
      <c r="J12" s="139"/>
    </row>
    <row r="13" spans="2:10" x14ac:dyDescent="0.25">
      <c r="B13" s="138"/>
      <c r="C13" s="121"/>
      <c r="D13" s="121"/>
      <c r="E13" s="121"/>
      <c r="F13" s="121"/>
      <c r="G13" s="121"/>
      <c r="H13" s="121"/>
      <c r="I13" s="121"/>
      <c r="J13" s="139"/>
    </row>
    <row r="14" spans="2:10" ht="15.75" thickBot="1" x14ac:dyDescent="0.3">
      <c r="B14" s="138"/>
      <c r="C14" s="121"/>
      <c r="D14" s="121"/>
      <c r="E14" s="121"/>
      <c r="F14" s="121"/>
      <c r="G14" s="121"/>
      <c r="H14" s="121"/>
      <c r="I14" s="121"/>
      <c r="J14" s="139"/>
    </row>
    <row r="15" spans="2:10" ht="19.5" customHeight="1" x14ac:dyDescent="0.25">
      <c r="B15" s="138"/>
      <c r="C15" s="238" t="s">
        <v>83</v>
      </c>
      <c r="D15" s="239"/>
      <c r="E15" s="239"/>
      <c r="F15" s="239"/>
      <c r="G15" s="239"/>
      <c r="H15" s="239"/>
      <c r="I15" s="240"/>
      <c r="J15" s="139"/>
    </row>
    <row r="16" spans="2:10" x14ac:dyDescent="0.25">
      <c r="B16" s="138"/>
      <c r="C16" s="53"/>
      <c r="D16" s="9">
        <v>2020</v>
      </c>
      <c r="E16" s="9">
        <v>2021</v>
      </c>
      <c r="F16" s="9">
        <v>2022</v>
      </c>
      <c r="G16" s="9">
        <v>2023</v>
      </c>
      <c r="H16" s="9">
        <v>2024</v>
      </c>
      <c r="I16" s="37">
        <v>2025</v>
      </c>
      <c r="J16" s="139"/>
    </row>
    <row r="17" spans="2:10" x14ac:dyDescent="0.25">
      <c r="B17" s="138"/>
      <c r="C17" s="138"/>
      <c r="D17" s="121"/>
      <c r="E17" s="121"/>
      <c r="F17" s="121"/>
      <c r="G17" s="121"/>
      <c r="H17" s="121"/>
      <c r="I17" s="139"/>
      <c r="J17" s="139"/>
    </row>
    <row r="18" spans="2:10" x14ac:dyDescent="0.25">
      <c r="B18" s="138"/>
      <c r="C18" s="165" t="s">
        <v>82</v>
      </c>
      <c r="D18" s="166">
        <f>D8</f>
        <v>5500000</v>
      </c>
      <c r="E18" s="166">
        <f>+E8</f>
        <v>0</v>
      </c>
      <c r="F18" s="166"/>
      <c r="G18" s="166"/>
      <c r="H18" s="166"/>
      <c r="I18" s="167"/>
      <c r="J18" s="139"/>
    </row>
    <row r="19" spans="2:10" x14ac:dyDescent="0.25">
      <c r="B19" s="138"/>
      <c r="C19" s="165" t="s">
        <v>76</v>
      </c>
      <c r="D19" s="166"/>
      <c r="E19" s="166">
        <f>$D$8/5</f>
        <v>1100000</v>
      </c>
      <c r="F19" s="166">
        <f t="shared" ref="F19:H19" si="1">$D$8/5</f>
        <v>1100000</v>
      </c>
      <c r="G19" s="166">
        <f t="shared" si="1"/>
        <v>1100000</v>
      </c>
      <c r="H19" s="166">
        <f t="shared" si="1"/>
        <v>1100000</v>
      </c>
      <c r="I19" s="167">
        <f>$D$8/5</f>
        <v>1100000</v>
      </c>
      <c r="J19" s="139"/>
    </row>
    <row r="20" spans="2:10" x14ac:dyDescent="0.25">
      <c r="B20" s="138"/>
      <c r="C20" s="165" t="s">
        <v>77</v>
      </c>
      <c r="D20" s="166"/>
      <c r="E20" s="166">
        <f>E19</f>
        <v>1100000</v>
      </c>
      <c r="F20" s="166">
        <f>+E20+F19</f>
        <v>2200000</v>
      </c>
      <c r="G20" s="166">
        <f>F20+G19</f>
        <v>3300000</v>
      </c>
      <c r="H20" s="166">
        <f>G20+H19</f>
        <v>4400000</v>
      </c>
      <c r="I20" s="167">
        <f>H20+I19</f>
        <v>5500000</v>
      </c>
      <c r="J20" s="139"/>
    </row>
    <row r="21" spans="2:10" x14ac:dyDescent="0.25">
      <c r="B21" s="138"/>
      <c r="C21" s="153"/>
      <c r="D21" s="128"/>
      <c r="E21" s="128"/>
      <c r="F21" s="128"/>
      <c r="G21" s="128"/>
      <c r="H21" s="128"/>
      <c r="I21" s="152"/>
      <c r="J21" s="139"/>
    </row>
    <row r="22" spans="2:10" ht="15.75" thickBot="1" x14ac:dyDescent="0.3">
      <c r="B22" s="138"/>
      <c r="C22" s="42" t="s">
        <v>78</v>
      </c>
      <c r="D22" s="67"/>
      <c r="E22" s="67">
        <f>$D$18-E20</f>
        <v>4400000</v>
      </c>
      <c r="F22" s="67">
        <f>$D$18-F20</f>
        <v>3300000</v>
      </c>
      <c r="G22" s="67">
        <f>$D$18-G20</f>
        <v>2200000</v>
      </c>
      <c r="H22" s="67">
        <f>$D$18-H20</f>
        <v>1100000</v>
      </c>
      <c r="I22" s="68">
        <f>$D$18-I20</f>
        <v>0</v>
      </c>
      <c r="J22" s="139"/>
    </row>
    <row r="23" spans="2:10" x14ac:dyDescent="0.25">
      <c r="B23" s="138"/>
      <c r="C23" s="121"/>
      <c r="D23" s="121"/>
      <c r="E23" s="121"/>
      <c r="F23" s="121"/>
      <c r="G23" s="121"/>
      <c r="H23" s="121"/>
      <c r="I23" s="121"/>
      <c r="J23" s="139"/>
    </row>
    <row r="24" spans="2:10" x14ac:dyDescent="0.25">
      <c r="B24" s="138"/>
      <c r="C24" s="121"/>
      <c r="D24" s="121"/>
      <c r="E24" s="121"/>
      <c r="F24" s="121"/>
      <c r="G24" s="121"/>
      <c r="H24" s="121"/>
      <c r="I24" s="121"/>
      <c r="J24" s="139"/>
    </row>
    <row r="25" spans="2:10" ht="15.75" thickBot="1" x14ac:dyDescent="0.3">
      <c r="B25" s="143"/>
      <c r="C25" s="144"/>
      <c r="D25" s="144"/>
      <c r="E25" s="144"/>
      <c r="F25" s="144"/>
      <c r="G25" s="144"/>
      <c r="H25" s="144"/>
      <c r="I25" s="144"/>
      <c r="J25" s="168"/>
    </row>
  </sheetData>
  <sheetProtection algorithmName="SHA-512" hashValue="4b0isUBFLJlUp1wAPDQD50WIf2Nm8PgtoylROfW2EyyFzfb4iCK1M006LZN/TPO8mpjRbhjYkgOPxVDYiU9LJA==" saltValue="+CP5gAChYCGUyTJE5/Xa2w==" spinCount="100000" sheet="1" objects="1" scenarios="1" selectLockedCells="1" selectUnlockedCells="1"/>
  <mergeCells count="2">
    <mergeCell ref="C4:I4"/>
    <mergeCell ref="C15:I1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5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7.7109375" style="105" customWidth="1"/>
    <col min="2" max="2" width="37.42578125" style="105" bestFit="1" customWidth="1"/>
    <col min="3" max="3" width="19.140625" style="105" customWidth="1"/>
    <col min="4" max="4" width="22" style="105" customWidth="1"/>
    <col min="5" max="5" width="20.42578125" style="105" customWidth="1"/>
    <col min="6" max="6" width="20.85546875" style="105" customWidth="1"/>
    <col min="7" max="7" width="21" style="105" customWidth="1"/>
    <col min="8" max="8" width="21.7109375" style="105" customWidth="1"/>
    <col min="9" max="16384" width="11.42578125" style="105"/>
  </cols>
  <sheetData>
    <row r="2" spans="2:9" ht="15.75" thickBot="1" x14ac:dyDescent="0.3"/>
    <row r="3" spans="2:9" ht="17.25" customHeight="1" x14ac:dyDescent="0.25">
      <c r="B3" s="238" t="s">
        <v>73</v>
      </c>
      <c r="C3" s="239"/>
      <c r="D3" s="239"/>
      <c r="E3" s="239"/>
      <c r="F3" s="239"/>
      <c r="G3" s="239"/>
      <c r="H3" s="240"/>
    </row>
    <row r="4" spans="2:9" ht="18" customHeight="1" x14ac:dyDescent="0.25">
      <c r="B4" s="247" t="s">
        <v>46</v>
      </c>
      <c r="C4" s="248"/>
      <c r="D4" s="248"/>
      <c r="E4" s="248"/>
      <c r="F4" s="248"/>
      <c r="G4" s="248"/>
      <c r="H4" s="249"/>
    </row>
    <row r="5" spans="2:9" ht="17.25" customHeight="1" x14ac:dyDescent="0.25">
      <c r="B5" s="250"/>
      <c r="C5" s="251"/>
      <c r="D5" s="251"/>
      <c r="E5" s="251"/>
      <c r="F5" s="251"/>
      <c r="G5" s="251"/>
      <c r="H5" s="252"/>
    </row>
    <row r="6" spans="2:9" x14ac:dyDescent="0.25">
      <c r="B6" s="253" t="s">
        <v>31</v>
      </c>
      <c r="C6" s="254"/>
      <c r="D6" s="254"/>
      <c r="E6" s="254"/>
      <c r="F6" s="254"/>
      <c r="G6" s="254"/>
      <c r="H6" s="255"/>
      <c r="I6" s="51"/>
    </row>
    <row r="7" spans="2:9" x14ac:dyDescent="0.25">
      <c r="B7" s="232"/>
      <c r="C7" s="9">
        <v>2020</v>
      </c>
      <c r="D7" s="9">
        <v>2021</v>
      </c>
      <c r="E7" s="9">
        <v>2022</v>
      </c>
      <c r="F7" s="9">
        <v>2023</v>
      </c>
      <c r="G7" s="9">
        <v>2024</v>
      </c>
      <c r="H7" s="37">
        <v>2025</v>
      </c>
      <c r="I7" s="51"/>
    </row>
    <row r="8" spans="2:9" x14ac:dyDescent="0.25">
      <c r="B8" s="85" t="s">
        <v>32</v>
      </c>
      <c r="C8" s="121"/>
      <c r="D8" s="121"/>
      <c r="E8" s="121"/>
      <c r="F8" s="121"/>
      <c r="G8" s="121"/>
      <c r="H8" s="139"/>
    </row>
    <row r="9" spans="2:9" x14ac:dyDescent="0.25">
      <c r="B9" s="2" t="s">
        <v>34</v>
      </c>
      <c r="C9" s="128"/>
      <c r="D9" s="128"/>
      <c r="E9" s="128"/>
      <c r="F9" s="128"/>
      <c r="G9" s="128"/>
      <c r="H9" s="152"/>
    </row>
    <row r="10" spans="2:9" x14ac:dyDescent="0.25">
      <c r="B10" s="1" t="s">
        <v>35</v>
      </c>
      <c r="C10" s="128">
        <f>+'Flujo de Caja Libre'!C24</f>
        <v>134500000</v>
      </c>
      <c r="D10" s="128">
        <f>+'Flujo de Caja Libre'!D24</f>
        <v>54390000</v>
      </c>
      <c r="E10" s="128">
        <f>+'Flujo de Caja Libre'!E24</f>
        <v>18959280</v>
      </c>
      <c r="F10" s="128">
        <f>+'Flujo de Caja Libre'!F24</f>
        <v>41984553.151999995</v>
      </c>
      <c r="G10" s="128">
        <f>+'Flujo de Caja Libre'!G24</f>
        <v>131408777.63747841</v>
      </c>
      <c r="H10" s="152">
        <f>+'Flujo de Caja Libre'!H24</f>
        <v>307434851.80372477</v>
      </c>
    </row>
    <row r="11" spans="2:9" x14ac:dyDescent="0.25">
      <c r="B11" s="86" t="s">
        <v>36</v>
      </c>
      <c r="C11" s="87">
        <f t="shared" ref="C11:H11" si="0">SUM(C10:C10)</f>
        <v>134500000</v>
      </c>
      <c r="D11" s="87">
        <f t="shared" si="0"/>
        <v>54390000</v>
      </c>
      <c r="E11" s="87">
        <f t="shared" si="0"/>
        <v>18959280</v>
      </c>
      <c r="F11" s="87">
        <f t="shared" si="0"/>
        <v>41984553.151999995</v>
      </c>
      <c r="G11" s="87">
        <f t="shared" si="0"/>
        <v>131408777.63747841</v>
      </c>
      <c r="H11" s="88">
        <f t="shared" si="0"/>
        <v>307434851.80372477</v>
      </c>
    </row>
    <row r="12" spans="2:9" ht="11.25" customHeight="1" x14ac:dyDescent="0.25">
      <c r="B12" s="1"/>
      <c r="C12" s="169"/>
      <c r="D12" s="169"/>
      <c r="E12" s="169"/>
      <c r="F12" s="169"/>
      <c r="G12" s="169"/>
      <c r="H12" s="170"/>
    </row>
    <row r="13" spans="2:9" x14ac:dyDescent="0.25">
      <c r="B13" s="2" t="s">
        <v>38</v>
      </c>
      <c r="C13" s="169"/>
      <c r="D13" s="169"/>
      <c r="E13" s="169"/>
      <c r="F13" s="169"/>
      <c r="G13" s="169"/>
      <c r="H13" s="170"/>
    </row>
    <row r="14" spans="2:9" x14ac:dyDescent="0.25">
      <c r="B14" s="1" t="s">
        <v>39</v>
      </c>
      <c r="C14" s="169">
        <f>+'Activo Fijo y Depreciación'!$D$8</f>
        <v>5500000</v>
      </c>
      <c r="D14" s="169">
        <f>+'Activo Fijo y Depreciación'!$D$8</f>
        <v>5500000</v>
      </c>
      <c r="E14" s="169">
        <f>+'Activo Fijo y Depreciación'!$D$8</f>
        <v>5500000</v>
      </c>
      <c r="F14" s="169">
        <f>+'Activo Fijo y Depreciación'!$D$8</f>
        <v>5500000</v>
      </c>
      <c r="G14" s="169">
        <f>+'Activo Fijo y Depreciación'!$D$8</f>
        <v>5500000</v>
      </c>
      <c r="H14" s="170">
        <f>+'Activo Fijo y Depreciación'!$D$8</f>
        <v>5500000</v>
      </c>
    </row>
    <row r="15" spans="2:9" x14ac:dyDescent="0.25">
      <c r="B15" s="1" t="s">
        <v>77</v>
      </c>
      <c r="C15" s="169"/>
      <c r="D15" s="169">
        <f>'Activo Fijo y Depreciación'!E20</f>
        <v>1100000</v>
      </c>
      <c r="E15" s="169">
        <f>'Activo Fijo y Depreciación'!F20</f>
        <v>2200000</v>
      </c>
      <c r="F15" s="169">
        <f>'Activo Fijo y Depreciación'!G20</f>
        <v>3300000</v>
      </c>
      <c r="G15" s="169">
        <f>'Activo Fijo y Depreciación'!H20</f>
        <v>4400000</v>
      </c>
      <c r="H15" s="170">
        <f>'Activo Fijo y Depreciación'!I20</f>
        <v>5500000</v>
      </c>
    </row>
    <row r="16" spans="2:9" ht="18" customHeight="1" x14ac:dyDescent="0.25">
      <c r="B16" s="86" t="s">
        <v>41</v>
      </c>
      <c r="C16" s="87">
        <f>+C14-C15</f>
        <v>5500000</v>
      </c>
      <c r="D16" s="87">
        <f t="shared" ref="D16:H16" si="1">+D14-D15</f>
        <v>4400000</v>
      </c>
      <c r="E16" s="87">
        <f t="shared" si="1"/>
        <v>3300000</v>
      </c>
      <c r="F16" s="87">
        <f t="shared" si="1"/>
        <v>2200000</v>
      </c>
      <c r="G16" s="87">
        <f t="shared" si="1"/>
        <v>1100000</v>
      </c>
      <c r="H16" s="88">
        <f t="shared" si="1"/>
        <v>0</v>
      </c>
    </row>
    <row r="17" spans="2:8" ht="10.5" customHeight="1" x14ac:dyDescent="0.25">
      <c r="B17" s="1"/>
      <c r="C17" s="169"/>
      <c r="D17" s="169"/>
      <c r="E17" s="169"/>
      <c r="F17" s="169"/>
      <c r="G17" s="169"/>
      <c r="H17" s="170"/>
    </row>
    <row r="18" spans="2:8" ht="15" customHeight="1" x14ac:dyDescent="0.25">
      <c r="B18" s="86" t="s">
        <v>44</v>
      </c>
      <c r="C18" s="87">
        <f>C11+C16</f>
        <v>140000000</v>
      </c>
      <c r="D18" s="87">
        <f t="shared" ref="D18:H18" si="2">D11+D16</f>
        <v>58790000</v>
      </c>
      <c r="E18" s="87">
        <f t="shared" si="2"/>
        <v>22259280</v>
      </c>
      <c r="F18" s="87">
        <f t="shared" si="2"/>
        <v>44184553.151999995</v>
      </c>
      <c r="G18" s="87">
        <f t="shared" si="2"/>
        <v>132508777.63747841</v>
      </c>
      <c r="H18" s="88">
        <f t="shared" si="2"/>
        <v>307434851.80372477</v>
      </c>
    </row>
    <row r="19" spans="2:8" ht="11.25" customHeight="1" x14ac:dyDescent="0.25">
      <c r="B19" s="1"/>
      <c r="C19" s="169"/>
      <c r="D19" s="169"/>
      <c r="E19" s="169"/>
      <c r="F19" s="169"/>
      <c r="G19" s="169"/>
      <c r="H19" s="170"/>
    </row>
    <row r="20" spans="2:8" x14ac:dyDescent="0.25">
      <c r="B20" s="85" t="s">
        <v>33</v>
      </c>
      <c r="C20" s="169"/>
      <c r="D20" s="169"/>
      <c r="E20" s="169"/>
      <c r="F20" s="169"/>
      <c r="G20" s="169"/>
      <c r="H20" s="170"/>
    </row>
    <row r="21" spans="2:8" x14ac:dyDescent="0.25">
      <c r="B21" s="1" t="s">
        <v>102</v>
      </c>
      <c r="C21" s="169">
        <v>0</v>
      </c>
      <c r="D21" s="169">
        <v>0</v>
      </c>
      <c r="E21" s="169">
        <f>E49</f>
        <v>0</v>
      </c>
      <c r="F21" s="169">
        <f>F49</f>
        <v>7235340.140159999</v>
      </c>
      <c r="G21" s="169">
        <f>G49</f>
        <v>31534656.326460678</v>
      </c>
      <c r="H21" s="170">
        <f>H49</f>
        <v>68132041.062593311</v>
      </c>
    </row>
    <row r="22" spans="2:8" x14ac:dyDescent="0.25">
      <c r="B22" s="86" t="s">
        <v>37</v>
      </c>
      <c r="C22" s="87">
        <f>C21</f>
        <v>0</v>
      </c>
      <c r="D22" s="87">
        <f t="shared" ref="D22:H22" si="3">D21</f>
        <v>0</v>
      </c>
      <c r="E22" s="87">
        <f>E49</f>
        <v>0</v>
      </c>
      <c r="F22" s="87">
        <f t="shared" si="3"/>
        <v>7235340.140159999</v>
      </c>
      <c r="G22" s="87">
        <f t="shared" si="3"/>
        <v>31534656.326460678</v>
      </c>
      <c r="H22" s="88">
        <f t="shared" si="3"/>
        <v>68132041.062593311</v>
      </c>
    </row>
    <row r="23" spans="2:8" ht="7.5" customHeight="1" x14ac:dyDescent="0.25">
      <c r="B23" s="1"/>
      <c r="C23" s="169"/>
      <c r="D23" s="169"/>
      <c r="E23" s="169"/>
      <c r="F23" s="169"/>
      <c r="G23" s="169"/>
      <c r="H23" s="170"/>
    </row>
    <row r="24" spans="2:8" x14ac:dyDescent="0.25">
      <c r="B24" s="85" t="s">
        <v>40</v>
      </c>
      <c r="C24" s="169"/>
      <c r="D24" s="169"/>
      <c r="E24" s="169"/>
      <c r="F24" s="169"/>
      <c r="G24" s="169"/>
      <c r="H24" s="170"/>
    </row>
    <row r="25" spans="2:8" x14ac:dyDescent="0.25">
      <c r="B25" s="1" t="s">
        <v>42</v>
      </c>
      <c r="C25" s="169">
        <f>' Ingresos y Datos de Entrada'!$G$33</f>
        <v>140000000</v>
      </c>
      <c r="D25" s="169">
        <f>' Ingresos y Datos de Entrada'!$G$33</f>
        <v>140000000</v>
      </c>
      <c r="E25" s="169">
        <f>' Ingresos y Datos de Entrada'!$G$33</f>
        <v>140000000</v>
      </c>
      <c r="F25" s="169">
        <f>' Ingresos y Datos de Entrada'!$G$33</f>
        <v>140000000</v>
      </c>
      <c r="G25" s="169">
        <f>' Ingresos y Datos de Entrada'!$G$33</f>
        <v>140000000</v>
      </c>
      <c r="H25" s="170">
        <f>' Ingresos y Datos de Entrada'!$G$33</f>
        <v>140000000</v>
      </c>
    </row>
    <row r="26" spans="2:8" x14ac:dyDescent="0.25">
      <c r="B26" s="1" t="s">
        <v>101</v>
      </c>
      <c r="C26" s="169">
        <v>0</v>
      </c>
      <c r="D26" s="169">
        <f>C27</f>
        <v>0</v>
      </c>
      <c r="E26" s="169">
        <f>D27</f>
        <v>-81210000</v>
      </c>
      <c r="F26" s="169">
        <f>+E26+E27</f>
        <v>-117740720</v>
      </c>
      <c r="G26" s="169">
        <f>SUM(F26:F27)</f>
        <v>-103050786.98816</v>
      </c>
      <c r="H26" s="170">
        <f>SUM(G26:G27)</f>
        <v>-39025878.688982263</v>
      </c>
    </row>
    <row r="27" spans="2:8" x14ac:dyDescent="0.25">
      <c r="B27" s="1" t="s">
        <v>84</v>
      </c>
      <c r="C27" s="169">
        <v>0</v>
      </c>
      <c r="D27" s="169">
        <f>+D50</f>
        <v>-81210000</v>
      </c>
      <c r="E27" s="169">
        <f>+E50</f>
        <v>-36530720</v>
      </c>
      <c r="F27" s="169">
        <f>+F50</f>
        <v>14689933.011839997</v>
      </c>
      <c r="G27" s="169">
        <f>+G50</f>
        <v>64024908.299177736</v>
      </c>
      <c r="H27" s="170">
        <f>+H50</f>
        <v>138328689.4301137</v>
      </c>
    </row>
    <row r="28" spans="2:8" x14ac:dyDescent="0.25">
      <c r="B28" s="86" t="s">
        <v>43</v>
      </c>
      <c r="C28" s="87">
        <f t="shared" ref="C28:H28" si="4">SUM(C25:C27)</f>
        <v>140000000</v>
      </c>
      <c r="D28" s="87">
        <f t="shared" si="4"/>
        <v>58790000</v>
      </c>
      <c r="E28" s="87">
        <f t="shared" si="4"/>
        <v>22259280</v>
      </c>
      <c r="F28" s="87">
        <f>SUM(F25:F27)</f>
        <v>36949213.011840001</v>
      </c>
      <c r="G28" s="87">
        <f>SUM(G25:G27)</f>
        <v>100974121.31101774</v>
      </c>
      <c r="H28" s="88">
        <f t="shared" si="4"/>
        <v>239302810.74113142</v>
      </c>
    </row>
    <row r="29" spans="2:8" ht="10.5" customHeight="1" x14ac:dyDescent="0.25">
      <c r="B29" s="2"/>
      <c r="C29" s="169"/>
      <c r="D29" s="169"/>
      <c r="E29" s="169"/>
      <c r="F29" s="169"/>
      <c r="G29" s="169"/>
      <c r="H29" s="170"/>
    </row>
    <row r="30" spans="2:8" ht="15.75" thickBot="1" x14ac:dyDescent="0.3">
      <c r="B30" s="89" t="s">
        <v>45</v>
      </c>
      <c r="C30" s="90">
        <f t="shared" ref="C30:H30" si="5">C22+C28</f>
        <v>140000000</v>
      </c>
      <c r="D30" s="90">
        <f t="shared" si="5"/>
        <v>58790000</v>
      </c>
      <c r="E30" s="90">
        <f t="shared" si="5"/>
        <v>22259280</v>
      </c>
      <c r="F30" s="90">
        <f t="shared" si="5"/>
        <v>44184553.152000003</v>
      </c>
      <c r="G30" s="90">
        <f t="shared" si="5"/>
        <v>132508777.63747841</v>
      </c>
      <c r="H30" s="91">
        <f t="shared" si="5"/>
        <v>307434851.80372477</v>
      </c>
    </row>
    <row r="31" spans="2:8" ht="11.25" customHeight="1" x14ac:dyDescent="0.25">
      <c r="B31" s="171"/>
      <c r="C31" s="172"/>
      <c r="D31" s="172"/>
      <c r="E31" s="172"/>
      <c r="F31" s="172"/>
      <c r="G31" s="172"/>
      <c r="H31" s="172"/>
    </row>
    <row r="32" spans="2:8" x14ac:dyDescent="0.25">
      <c r="B32" s="52" t="s">
        <v>91</v>
      </c>
      <c r="C32" s="84">
        <f t="shared" ref="C32:H32" si="6">+C18-C30</f>
        <v>0</v>
      </c>
      <c r="D32" s="84">
        <f t="shared" si="6"/>
        <v>0</v>
      </c>
      <c r="E32" s="84">
        <f t="shared" si="6"/>
        <v>0</v>
      </c>
      <c r="F32" s="84">
        <f>+F18-F30</f>
        <v>0</v>
      </c>
      <c r="G32" s="84">
        <f t="shared" si="6"/>
        <v>0</v>
      </c>
      <c r="H32" s="84">
        <f t="shared" si="6"/>
        <v>0</v>
      </c>
    </row>
    <row r="33" spans="2:8" x14ac:dyDescent="0.25">
      <c r="B33" s="121"/>
      <c r="C33" s="121"/>
      <c r="D33" s="121"/>
      <c r="E33" s="121"/>
      <c r="F33" s="121"/>
    </row>
    <row r="34" spans="2:8" ht="15.75" thickBot="1" x14ac:dyDescent="0.3"/>
    <row r="35" spans="2:8" ht="18.75" customHeight="1" x14ac:dyDescent="0.25">
      <c r="B35" s="238" t="s">
        <v>22</v>
      </c>
      <c r="C35" s="239"/>
      <c r="D35" s="239"/>
      <c r="E35" s="239"/>
      <c r="F35" s="239"/>
      <c r="G35" s="239"/>
      <c r="H35" s="240"/>
    </row>
    <row r="36" spans="2:8" ht="15.75" customHeight="1" x14ac:dyDescent="0.25">
      <c r="B36" s="247" t="s">
        <v>46</v>
      </c>
      <c r="C36" s="248"/>
      <c r="D36" s="248"/>
      <c r="E36" s="248"/>
      <c r="F36" s="248"/>
      <c r="G36" s="248"/>
      <c r="H36" s="249"/>
    </row>
    <row r="37" spans="2:8" ht="18.75" customHeight="1" thickBot="1" x14ac:dyDescent="0.3">
      <c r="B37" s="244"/>
      <c r="C37" s="245"/>
      <c r="D37" s="245"/>
      <c r="E37" s="245"/>
      <c r="F37" s="245"/>
      <c r="G37" s="245"/>
      <c r="H37" s="246"/>
    </row>
    <row r="38" spans="2:8" x14ac:dyDescent="0.25">
      <c r="B38" s="138"/>
      <c r="C38" s="121"/>
      <c r="D38" s="121"/>
      <c r="E38" s="121"/>
      <c r="F38" s="121"/>
      <c r="G38" s="121"/>
      <c r="H38" s="139"/>
    </row>
    <row r="39" spans="2:8" x14ac:dyDescent="0.25">
      <c r="B39" s="173"/>
      <c r="C39" s="9">
        <v>2020</v>
      </c>
      <c r="D39" s="9">
        <v>2021</v>
      </c>
      <c r="E39" s="9">
        <v>2022</v>
      </c>
      <c r="F39" s="9">
        <v>2023</v>
      </c>
      <c r="G39" s="9">
        <v>2024</v>
      </c>
      <c r="H39" s="37">
        <v>2025</v>
      </c>
    </row>
    <row r="40" spans="2:8" x14ac:dyDescent="0.25">
      <c r="B40" s="92" t="s">
        <v>90</v>
      </c>
      <c r="C40" s="58"/>
      <c r="D40" s="61">
        <f>+' Ingresos y Datos de Entrada'!L22</f>
        <v>7320000</v>
      </c>
      <c r="E40" s="61">
        <f>+' Ingresos y Datos de Entrada'!M22</f>
        <v>52674720</v>
      </c>
      <c r="F40" s="61">
        <f>+' Ingresos y Datos de Entrada'!N22</f>
        <v>113006160</v>
      </c>
      <c r="G40" s="61">
        <f>+' Ingresos y Datos de Entrada'!O22</f>
        <v>188343600</v>
      </c>
      <c r="H40" s="103">
        <f>+' Ingresos y Datos de Entrada'!P22</f>
        <v>301349760</v>
      </c>
    </row>
    <row r="41" spans="2:8" x14ac:dyDescent="0.25">
      <c r="B41" s="92" t="s">
        <v>23</v>
      </c>
      <c r="C41" s="58"/>
      <c r="D41" s="61">
        <f>+'Costos y Gastos'!E11</f>
        <v>26730000</v>
      </c>
      <c r="E41" s="61">
        <f>+'Costos y Gastos'!F11</f>
        <v>12952800</v>
      </c>
      <c r="F41" s="61">
        <f>+'Costos y Gastos'!G11</f>
        <v>13475109.76</v>
      </c>
      <c r="G41" s="61">
        <f>+'Costos y Gastos'!H11</f>
        <v>13720287.595392</v>
      </c>
      <c r="H41" s="103">
        <f>+'Costos y Gastos'!I11</f>
        <v>14265007.993177446</v>
      </c>
    </row>
    <row r="42" spans="2:8" x14ac:dyDescent="0.25">
      <c r="B42" s="14" t="s">
        <v>24</v>
      </c>
      <c r="C42" s="60">
        <f>C40-C41</f>
        <v>0</v>
      </c>
      <c r="D42" s="93">
        <f>D40-D41</f>
        <v>-19410000</v>
      </c>
      <c r="E42" s="93">
        <f t="shared" ref="E42" si="7">E40-E41</f>
        <v>39721920</v>
      </c>
      <c r="F42" s="93">
        <f>F40-F41</f>
        <v>99531050.239999995</v>
      </c>
      <c r="G42" s="93">
        <f t="shared" ref="G42" si="8">G40-G41</f>
        <v>174623312.40460801</v>
      </c>
      <c r="H42" s="94">
        <f t="shared" ref="H42" si="9">H40-H41</f>
        <v>287084752.00682253</v>
      </c>
    </row>
    <row r="43" spans="2:8" x14ac:dyDescent="0.25">
      <c r="B43" s="92" t="s">
        <v>25</v>
      </c>
      <c r="C43" s="58"/>
      <c r="D43" s="61">
        <f>+'Costos y Gastos'!E18</f>
        <v>9000000</v>
      </c>
      <c r="E43" s="61">
        <f>+'Costos y Gastos'!F18</f>
        <v>8350000</v>
      </c>
      <c r="F43" s="61">
        <f>+'Costos y Gastos'!G18</f>
        <v>7752500</v>
      </c>
      <c r="G43" s="61">
        <f>+'Costos y Gastos'!H18</f>
        <v>7202875</v>
      </c>
      <c r="H43" s="103">
        <f>+'Costos y Gastos'!I18</f>
        <v>6696931.25</v>
      </c>
    </row>
    <row r="44" spans="2:8" x14ac:dyDescent="0.25">
      <c r="B44" s="92" t="s">
        <v>71</v>
      </c>
      <c r="C44" s="58"/>
      <c r="D44" s="61">
        <f>+'Costos y Gastos'!E23</f>
        <v>51700000</v>
      </c>
      <c r="E44" s="61">
        <f>+'Costos y Gastos'!F23</f>
        <v>66802640</v>
      </c>
      <c r="F44" s="61">
        <f>+'Costos y Gastos'!G23</f>
        <v>68753277.088</v>
      </c>
      <c r="G44" s="61">
        <f>+'Costos y Gastos'!H23</f>
        <v>70760872.778969601</v>
      </c>
      <c r="H44" s="103">
        <f>+'Costos y Gastos'!I23</f>
        <v>72827090.264115512</v>
      </c>
    </row>
    <row r="45" spans="2:8" x14ac:dyDescent="0.25">
      <c r="B45" s="92" t="s">
        <v>26</v>
      </c>
      <c r="C45" s="58"/>
      <c r="D45" s="61">
        <f>+'Activo Fijo y Depreciación'!E19</f>
        <v>1100000</v>
      </c>
      <c r="E45" s="61">
        <f>+'Activo Fijo y Depreciación'!F19</f>
        <v>1100000</v>
      </c>
      <c r="F45" s="61">
        <f>+'Activo Fijo y Depreciación'!G19</f>
        <v>1100000</v>
      </c>
      <c r="G45" s="61">
        <f>+'Activo Fijo y Depreciación'!H19</f>
        <v>1100000</v>
      </c>
      <c r="H45" s="103">
        <f>+'Activo Fijo y Depreciación'!I19</f>
        <v>1100000</v>
      </c>
    </row>
    <row r="46" spans="2:8" x14ac:dyDescent="0.25">
      <c r="B46" s="14" t="s">
        <v>27</v>
      </c>
      <c r="C46" s="60">
        <f>SUM(C45)</f>
        <v>0</v>
      </c>
      <c r="D46" s="93">
        <f>SUM(D43:D45)</f>
        <v>61800000</v>
      </c>
      <c r="E46" s="93">
        <f t="shared" ref="E46:H46" si="10">SUM(E43:E45)</f>
        <v>76252640</v>
      </c>
      <c r="F46" s="93">
        <f t="shared" si="10"/>
        <v>77605777.088</v>
      </c>
      <c r="G46" s="93">
        <f t="shared" si="10"/>
        <v>79063747.778969601</v>
      </c>
      <c r="H46" s="94">
        <f t="shared" si="10"/>
        <v>80624021.514115512</v>
      </c>
    </row>
    <row r="47" spans="2:8" x14ac:dyDescent="0.25">
      <c r="B47" s="174"/>
      <c r="C47" s="175"/>
      <c r="D47" s="176"/>
      <c r="E47" s="176"/>
      <c r="F47" s="176"/>
      <c r="G47" s="176"/>
      <c r="H47" s="177"/>
    </row>
    <row r="48" spans="2:8" x14ac:dyDescent="0.25">
      <c r="B48" s="14" t="s">
        <v>28</v>
      </c>
      <c r="C48" s="60">
        <f>C42-C46</f>
        <v>0</v>
      </c>
      <c r="D48" s="93">
        <f>D42-D46</f>
        <v>-81210000</v>
      </c>
      <c r="E48" s="93">
        <f t="shared" ref="E48:H48" si="11">E42-E46</f>
        <v>-36530720</v>
      </c>
      <c r="F48" s="93">
        <f>F42-F46</f>
        <v>21925273.151999995</v>
      </c>
      <c r="G48" s="93">
        <f t="shared" si="11"/>
        <v>95559564.62563841</v>
      </c>
      <c r="H48" s="94">
        <f t="shared" si="11"/>
        <v>206460730.49270701</v>
      </c>
    </row>
    <row r="49" spans="2:8" x14ac:dyDescent="0.25">
      <c r="B49" s="92" t="s">
        <v>29</v>
      </c>
      <c r="C49" s="59"/>
      <c r="D49" s="62">
        <f>IF(D48&lt;=0,0,(D48*' Ingresos y Datos de Entrada'!$G$31))</f>
        <v>0</v>
      </c>
      <c r="E49" s="62">
        <f>IF(E48&lt;=0,0,(E48*' Ingresos y Datos de Entrada'!$G$31))</f>
        <v>0</v>
      </c>
      <c r="F49" s="62">
        <f>IF(F48&lt;=0,0,(F48*' Ingresos y Datos de Entrada'!$G$31))</f>
        <v>7235340.140159999</v>
      </c>
      <c r="G49" s="62">
        <f>IF(G48&lt;=0,0,(G48*' Ingresos y Datos de Entrada'!$G$31))</f>
        <v>31534656.326460678</v>
      </c>
      <c r="H49" s="95">
        <f>IF(H48&lt;=0,0,(H48*' Ingresos y Datos de Entrada'!$G$31))</f>
        <v>68132041.062593311</v>
      </c>
    </row>
    <row r="50" spans="2:8" ht="15.75" thickBot="1" x14ac:dyDescent="0.3">
      <c r="B50" s="40" t="s">
        <v>30</v>
      </c>
      <c r="C50" s="65">
        <f>C48-C49</f>
        <v>0</v>
      </c>
      <c r="D50" s="96">
        <f>D48-D49</f>
        <v>-81210000</v>
      </c>
      <c r="E50" s="96">
        <f>E48-E49</f>
        <v>-36530720</v>
      </c>
      <c r="F50" s="96">
        <f t="shared" ref="F50:H50" si="12">F48-F49</f>
        <v>14689933.011839997</v>
      </c>
      <c r="G50" s="96">
        <f t="shared" si="12"/>
        <v>64024908.299177736</v>
      </c>
      <c r="H50" s="97">
        <f t="shared" si="12"/>
        <v>138328689.4301137</v>
      </c>
    </row>
    <row r="52" spans="2:8" x14ac:dyDescent="0.25">
      <c r="D52" s="231"/>
      <c r="E52" s="231"/>
      <c r="F52" s="231"/>
      <c r="G52" s="231"/>
      <c r="H52" s="231"/>
    </row>
    <row r="55" spans="2:8" x14ac:dyDescent="0.25">
      <c r="D55" s="233"/>
      <c r="E55" s="233"/>
      <c r="F55" s="233"/>
      <c r="G55" s="233"/>
      <c r="H55" s="233"/>
    </row>
  </sheetData>
  <sheetProtection algorithmName="SHA-512" hashValue="ZySxJ8BGHXMhqpYOgVa+jHId1i9jbf/Ql1iP71Ll5j1mqXNBGklJnWRgaG/XuWCGnLB7twr/fHm6/ufjrgfPiQ==" saltValue="GxlJDcd0i3RGUMHSoCMAsA==" spinCount="100000" sheet="1" objects="1" scenarios="1" selectLockedCells="1" selectUnlockedCells="1"/>
  <mergeCells count="7">
    <mergeCell ref="B37:H37"/>
    <mergeCell ref="B35:H35"/>
    <mergeCell ref="B3:H3"/>
    <mergeCell ref="B4:H4"/>
    <mergeCell ref="B5:H5"/>
    <mergeCell ref="B6:H6"/>
    <mergeCell ref="B36:H36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37"/>
  <sheetViews>
    <sheetView showGridLines="0" zoomScale="80" zoomScaleNormal="80" workbookViewId="0">
      <selection sqref="A1:XFD1048576"/>
    </sheetView>
  </sheetViews>
  <sheetFormatPr baseColWidth="10" defaultRowHeight="15" x14ac:dyDescent="0.25"/>
  <cols>
    <col min="1" max="1" width="8.85546875" style="105" customWidth="1"/>
    <col min="2" max="2" width="38.42578125" style="105" customWidth="1"/>
    <col min="3" max="3" width="18.140625" style="105" customWidth="1"/>
    <col min="4" max="5" width="16.42578125" style="105" bestFit="1" customWidth="1"/>
    <col min="6" max="7" width="17.5703125" style="105" bestFit="1" customWidth="1"/>
    <col min="8" max="8" width="19.28515625" style="105" customWidth="1"/>
    <col min="9" max="19" width="11.42578125" style="105"/>
    <col min="20" max="20" width="15.5703125" style="105" customWidth="1"/>
    <col min="21" max="21" width="16.7109375" style="105" customWidth="1"/>
    <col min="22" max="22" width="16" style="105" bestFit="1" customWidth="1"/>
    <col min="23" max="23" width="16.140625" style="105" customWidth="1"/>
    <col min="24" max="16384" width="11.42578125" style="105"/>
  </cols>
  <sheetData>
    <row r="2" spans="2:23" ht="15.75" thickBot="1" x14ac:dyDescent="0.3"/>
    <row r="3" spans="2:23" x14ac:dyDescent="0.25">
      <c r="B3" s="238" t="s">
        <v>9</v>
      </c>
      <c r="C3" s="239"/>
      <c r="D3" s="239"/>
      <c r="E3" s="239"/>
      <c r="F3" s="239"/>
      <c r="G3" s="239"/>
      <c r="H3" s="240"/>
      <c r="T3" s="15" t="s">
        <v>114</v>
      </c>
      <c r="U3" s="3" t="s">
        <v>115</v>
      </c>
      <c r="V3" s="3"/>
      <c r="W3" s="22"/>
    </row>
    <row r="4" spans="2:23" x14ac:dyDescent="0.25">
      <c r="B4" s="256"/>
      <c r="C4" s="257"/>
      <c r="D4" s="257"/>
      <c r="E4" s="257"/>
      <c r="F4" s="257"/>
      <c r="G4" s="257"/>
      <c r="H4" s="258"/>
      <c r="T4" s="15">
        <v>0</v>
      </c>
      <c r="U4" s="208">
        <f>+C26</f>
        <v>-134500000</v>
      </c>
      <c r="V4" s="3"/>
      <c r="W4" s="22"/>
    </row>
    <row r="5" spans="2:23" x14ac:dyDescent="0.25">
      <c r="B5" s="138"/>
      <c r="C5" s="121">
        <v>0</v>
      </c>
      <c r="D5" s="121">
        <v>1</v>
      </c>
      <c r="E5" s="121">
        <v>2</v>
      </c>
      <c r="F5" s="121">
        <v>3</v>
      </c>
      <c r="G5" s="121">
        <v>4</v>
      </c>
      <c r="H5" s="139">
        <v>5</v>
      </c>
      <c r="T5" s="15">
        <v>1</v>
      </c>
      <c r="U5" s="208">
        <f>+D26</f>
        <v>54390000</v>
      </c>
      <c r="V5" s="21">
        <f>+U5*(1+' Ingresos y Datos de Entrada'!$G$29)^-T5</f>
        <v>43512000</v>
      </c>
      <c r="W5" s="23">
        <f>+U4+V5</f>
        <v>-90988000</v>
      </c>
    </row>
    <row r="6" spans="2:23" x14ac:dyDescent="0.25">
      <c r="B6" s="36"/>
      <c r="C6" s="9">
        <v>2020</v>
      </c>
      <c r="D6" s="9">
        <v>2021</v>
      </c>
      <c r="E6" s="9">
        <v>2022</v>
      </c>
      <c r="F6" s="9">
        <v>2023</v>
      </c>
      <c r="G6" s="9">
        <v>2024</v>
      </c>
      <c r="H6" s="37">
        <v>2025</v>
      </c>
      <c r="T6" s="15">
        <v>2</v>
      </c>
      <c r="U6" s="208">
        <f>+E26</f>
        <v>18959280</v>
      </c>
      <c r="V6" s="21">
        <f>+U6*(1+' Ingresos y Datos de Entrada'!$G$29)^-T6</f>
        <v>12133939.200000001</v>
      </c>
      <c r="W6" s="23">
        <f>+W5+V6</f>
        <v>-78854060.799999997</v>
      </c>
    </row>
    <row r="7" spans="2:23" x14ac:dyDescent="0.25">
      <c r="B7" s="182"/>
      <c r="C7" s="121"/>
      <c r="D7" s="121"/>
      <c r="E7" s="121"/>
      <c r="F7" s="121"/>
      <c r="G7" s="121"/>
      <c r="H7" s="139"/>
      <c r="T7" s="15">
        <v>3</v>
      </c>
      <c r="U7" s="208">
        <f>+F26</f>
        <v>41984553.151999995</v>
      </c>
      <c r="V7" s="21">
        <f>+U7*(1+' Ingresos y Datos de Entrada'!$G$29)^-T7</f>
        <v>21496091.213823996</v>
      </c>
      <c r="W7" s="23">
        <f t="shared" ref="W7:W9" si="0">+W6+V7</f>
        <v>-57357969.586176001</v>
      </c>
    </row>
    <row r="8" spans="2:23" x14ac:dyDescent="0.25">
      <c r="B8" s="39" t="s">
        <v>10</v>
      </c>
      <c r="C8" s="56">
        <f>+'Estados Financieros'!C50</f>
        <v>0</v>
      </c>
      <c r="D8" s="56">
        <f>'Estados Financieros'!D48+'Estados Financieros'!D45</f>
        <v>-80110000</v>
      </c>
      <c r="E8" s="56">
        <f>'Estados Financieros'!E48+'Estados Financieros'!E45</f>
        <v>-35430720</v>
      </c>
      <c r="F8" s="56">
        <f>'Estados Financieros'!F48+'Estados Financieros'!F45</f>
        <v>23025273.151999995</v>
      </c>
      <c r="G8" s="56">
        <f>'Estados Financieros'!G48+'Estados Financieros'!G45-'Estados Financieros'!F49</f>
        <v>89424224.485478416</v>
      </c>
      <c r="H8" s="183">
        <f>'Estados Financieros'!H48+'Estados Financieros'!H45-'Estados Financieros'!G49</f>
        <v>176026074.16624632</v>
      </c>
      <c r="T8" s="15">
        <v>4</v>
      </c>
      <c r="U8" s="208">
        <f>+G26</f>
        <v>131408777.63747841</v>
      </c>
      <c r="V8" s="21">
        <f>+U8*(1+' Ingresos y Datos de Entrada'!$G$29)^-T8</f>
        <v>53825035.320311159</v>
      </c>
      <c r="W8" s="23">
        <f t="shared" si="0"/>
        <v>-3532934.2658648416</v>
      </c>
    </row>
    <row r="9" spans="2:23" ht="15.75" thickBot="1" x14ac:dyDescent="0.3">
      <c r="B9" s="39" t="s">
        <v>11</v>
      </c>
      <c r="C9" s="56">
        <f>+'Estados Financieros'!C49</f>
        <v>0</v>
      </c>
      <c r="D9" s="56">
        <f>+'Estados Financieros'!C49</f>
        <v>0</v>
      </c>
      <c r="E9" s="56">
        <f>+'Estados Financieros'!D49</f>
        <v>0</v>
      </c>
      <c r="F9" s="56">
        <f>+'Estados Financieros'!E49</f>
        <v>0</v>
      </c>
      <c r="G9" s="56">
        <f>+'Estados Financieros'!F49</f>
        <v>7235340.140159999</v>
      </c>
      <c r="H9" s="183">
        <f>+'Estados Financieros'!G49</f>
        <v>31534656.326460678</v>
      </c>
      <c r="T9" s="143">
        <v>5</v>
      </c>
      <c r="U9" s="209">
        <f>+H26</f>
        <v>307434851.80372477</v>
      </c>
      <c r="V9" s="24">
        <f>+U9*(1+' Ingresos y Datos de Entrada'!$G$29)^-T9</f>
        <v>100740252.23904453</v>
      </c>
      <c r="W9" s="25">
        <f t="shared" si="0"/>
        <v>97207317.973179698</v>
      </c>
    </row>
    <row r="10" spans="2:23" x14ac:dyDescent="0.25">
      <c r="B10" s="41" t="s">
        <v>12</v>
      </c>
      <c r="C10" s="56">
        <f>+C8+C9</f>
        <v>0</v>
      </c>
      <c r="D10" s="56">
        <f>D8+D9</f>
        <v>-80110000</v>
      </c>
      <c r="E10" s="56">
        <f t="shared" ref="E10:H10" si="1">E8+E9</f>
        <v>-35430720</v>
      </c>
      <c r="F10" s="57">
        <f>F8+F9</f>
        <v>23025273.151999995</v>
      </c>
      <c r="G10" s="57">
        <f>G8+G9</f>
        <v>96659564.62563841</v>
      </c>
      <c r="H10" s="184">
        <f t="shared" si="1"/>
        <v>207560730.49270701</v>
      </c>
    </row>
    <row r="11" spans="2:23" x14ac:dyDescent="0.25">
      <c r="B11" s="39" t="s">
        <v>13</v>
      </c>
      <c r="C11" s="56">
        <v>0</v>
      </c>
      <c r="D11" s="56">
        <f>+D9</f>
        <v>0</v>
      </c>
      <c r="E11" s="56">
        <f t="shared" ref="E11" si="2">+E9</f>
        <v>0</v>
      </c>
      <c r="F11" s="56"/>
      <c r="G11" s="56">
        <f>'Estados Financieros'!F49</f>
        <v>7235340.140159999</v>
      </c>
      <c r="H11" s="183">
        <f>'Estados Financieros'!G49</f>
        <v>31534656.326460678</v>
      </c>
    </row>
    <row r="12" spans="2:23" x14ac:dyDescent="0.25">
      <c r="B12" s="41" t="s">
        <v>14</v>
      </c>
      <c r="C12" s="56">
        <v>0</v>
      </c>
      <c r="D12" s="56">
        <f>D10-D11</f>
        <v>-80110000</v>
      </c>
      <c r="E12" s="56">
        <f t="shared" ref="E12:H12" si="3">E10-E11</f>
        <v>-35430720</v>
      </c>
      <c r="F12" s="57">
        <f>F10-F11</f>
        <v>23025273.151999995</v>
      </c>
      <c r="G12" s="57">
        <f t="shared" si="3"/>
        <v>89424224.485478416</v>
      </c>
      <c r="H12" s="184">
        <f t="shared" si="3"/>
        <v>176026074.16624632</v>
      </c>
    </row>
    <row r="13" spans="2:23" x14ac:dyDescent="0.25">
      <c r="B13" s="39"/>
      <c r="C13" s="56"/>
      <c r="D13" s="56"/>
      <c r="E13" s="56"/>
      <c r="F13" s="56"/>
      <c r="G13" s="56"/>
      <c r="H13" s="183"/>
    </row>
    <row r="14" spans="2:23" x14ac:dyDescent="0.25">
      <c r="B14" s="185" t="s">
        <v>15</v>
      </c>
      <c r="C14" s="101">
        <v>0</v>
      </c>
      <c r="D14" s="101">
        <f>D12+D13</f>
        <v>-80110000</v>
      </c>
      <c r="E14" s="101">
        <f t="shared" ref="E14:H14" si="4">E12+E13</f>
        <v>-35430720</v>
      </c>
      <c r="F14" s="102">
        <f>F12+F13</f>
        <v>23025273.151999995</v>
      </c>
      <c r="G14" s="102">
        <f>G12+G13</f>
        <v>89424224.485478416</v>
      </c>
      <c r="H14" s="186">
        <f t="shared" si="4"/>
        <v>176026074.16624632</v>
      </c>
    </row>
    <row r="15" spans="2:23" x14ac:dyDescent="0.25">
      <c r="B15" s="187"/>
      <c r="C15" s="178"/>
      <c r="D15" s="178"/>
      <c r="E15" s="178"/>
      <c r="F15" s="179"/>
      <c r="G15" s="179"/>
      <c r="H15" s="188"/>
    </row>
    <row r="16" spans="2:23" x14ac:dyDescent="0.25">
      <c r="B16" s="185" t="s">
        <v>100</v>
      </c>
      <c r="C16" s="56"/>
      <c r="D16" s="56"/>
      <c r="E16" s="56"/>
      <c r="F16" s="56"/>
      <c r="G16" s="56"/>
      <c r="H16" s="183"/>
    </row>
    <row r="17" spans="2:8" x14ac:dyDescent="0.25">
      <c r="B17" s="39" t="s">
        <v>17</v>
      </c>
      <c r="C17" s="56">
        <f>+'Activo Fijo y Depreciación'!$D$8</f>
        <v>5500000</v>
      </c>
      <c r="D17" s="56">
        <f>+'Activo Fijo y Depreciación'!$D$8</f>
        <v>5500000</v>
      </c>
      <c r="E17" s="56">
        <f>+'Activo Fijo y Depreciación'!$D$8</f>
        <v>5500000</v>
      </c>
      <c r="F17" s="56">
        <f>+'Activo Fijo y Depreciación'!$D$8</f>
        <v>5500000</v>
      </c>
      <c r="G17" s="56">
        <f>+'Activo Fijo y Depreciación'!$D$8</f>
        <v>5500000</v>
      </c>
      <c r="H17" s="183">
        <f>+'Activo Fijo y Depreciación'!$D$8</f>
        <v>5500000</v>
      </c>
    </row>
    <row r="18" spans="2:8" x14ac:dyDescent="0.25">
      <c r="B18" s="39"/>
      <c r="C18" s="56"/>
      <c r="D18" s="56"/>
      <c r="E18" s="56"/>
      <c r="F18" s="56"/>
      <c r="G18" s="56"/>
      <c r="H18" s="183"/>
    </row>
    <row r="19" spans="2:8" x14ac:dyDescent="0.25">
      <c r="B19" s="185" t="s">
        <v>99</v>
      </c>
      <c r="C19" s="101"/>
      <c r="D19" s="101"/>
      <c r="E19" s="101"/>
      <c r="F19" s="102"/>
      <c r="G19" s="102"/>
      <c r="H19" s="186"/>
    </row>
    <row r="20" spans="2:8" x14ac:dyDescent="0.25">
      <c r="B20" s="39" t="s">
        <v>16</v>
      </c>
      <c r="C20" s="56">
        <v>134500000</v>
      </c>
      <c r="D20" s="56">
        <v>134500000</v>
      </c>
      <c r="E20" s="56">
        <v>134500000</v>
      </c>
      <c r="F20" s="56">
        <v>134500000</v>
      </c>
      <c r="G20" s="56">
        <v>134500000</v>
      </c>
      <c r="H20" s="183">
        <v>134500000</v>
      </c>
    </row>
    <row r="21" spans="2:8" x14ac:dyDescent="0.25">
      <c r="B21" s="39"/>
      <c r="C21" s="56"/>
      <c r="D21" s="56"/>
      <c r="E21" s="56"/>
      <c r="F21" s="56"/>
      <c r="G21" s="56"/>
      <c r="H21" s="183"/>
    </row>
    <row r="22" spans="2:8" x14ac:dyDescent="0.25">
      <c r="B22" s="185" t="s">
        <v>96</v>
      </c>
      <c r="C22" s="56">
        <f>C20</f>
        <v>134500000</v>
      </c>
      <c r="D22" s="56">
        <f>D14</f>
        <v>-80110000</v>
      </c>
      <c r="E22" s="56">
        <f t="shared" ref="E22:H22" si="5">E14</f>
        <v>-35430720</v>
      </c>
      <c r="F22" s="56">
        <f>F14</f>
        <v>23025273.151999995</v>
      </c>
      <c r="G22" s="56">
        <f>G14</f>
        <v>89424224.485478416</v>
      </c>
      <c r="H22" s="183">
        <f t="shared" si="5"/>
        <v>176026074.16624632</v>
      </c>
    </row>
    <row r="23" spans="2:8" x14ac:dyDescent="0.25">
      <c r="B23" s="185" t="s">
        <v>97</v>
      </c>
      <c r="C23" s="56">
        <v>0</v>
      </c>
      <c r="D23" s="56">
        <f>C24</f>
        <v>134500000</v>
      </c>
      <c r="E23" s="56">
        <f>+D24</f>
        <v>54390000</v>
      </c>
      <c r="F23" s="56">
        <f>+E24</f>
        <v>18959280</v>
      </c>
      <c r="G23" s="56">
        <f>+F24</f>
        <v>41984553.151999995</v>
      </c>
      <c r="H23" s="183">
        <f>+G24</f>
        <v>131408777.63747841</v>
      </c>
    </row>
    <row r="24" spans="2:8" ht="15.75" thickBot="1" x14ac:dyDescent="0.3">
      <c r="B24" s="189" t="s">
        <v>98</v>
      </c>
      <c r="C24" s="190">
        <f t="shared" ref="C24" si="6">+C22+C23</f>
        <v>134500000</v>
      </c>
      <c r="D24" s="190">
        <f>+D22+D23</f>
        <v>54390000</v>
      </c>
      <c r="E24" s="190">
        <f>+E22+E23</f>
        <v>18959280</v>
      </c>
      <c r="F24" s="190">
        <f>+F22+F23</f>
        <v>41984553.151999995</v>
      </c>
      <c r="G24" s="190">
        <f t="shared" ref="G24:H24" si="7">+G22+G23</f>
        <v>131408777.63747841</v>
      </c>
      <c r="H24" s="191">
        <f t="shared" si="7"/>
        <v>307434851.80372477</v>
      </c>
    </row>
    <row r="25" spans="2:8" ht="15.75" thickBot="1" x14ac:dyDescent="0.3">
      <c r="B25" s="180"/>
      <c r="C25" s="181"/>
      <c r="D25" s="181"/>
      <c r="E25" s="181"/>
      <c r="F25" s="181"/>
      <c r="G25" s="181"/>
      <c r="H25" s="181"/>
    </row>
    <row r="26" spans="2:8" ht="18.75" customHeight="1" thickBot="1" x14ac:dyDescent="0.3">
      <c r="B26" s="192" t="s">
        <v>95</v>
      </c>
      <c r="C26" s="193">
        <f>-C24</f>
        <v>-134500000</v>
      </c>
      <c r="D26" s="193">
        <f t="shared" ref="D26:H26" si="8">+D24</f>
        <v>54390000</v>
      </c>
      <c r="E26" s="193">
        <f>+E24</f>
        <v>18959280</v>
      </c>
      <c r="F26" s="193">
        <f>+F24</f>
        <v>41984553.151999995</v>
      </c>
      <c r="G26" s="193">
        <f>+G24</f>
        <v>131408777.63747841</v>
      </c>
      <c r="H26" s="194">
        <f t="shared" si="8"/>
        <v>307434851.80372477</v>
      </c>
    </row>
    <row r="28" spans="2:8" x14ac:dyDescent="0.25">
      <c r="B28" s="206" t="s">
        <v>112</v>
      </c>
      <c r="C28" s="198">
        <f>NPV(' Ingresos y Datos de Entrada'!G29,D26:H26)+C26</f>
        <v>97207317.973179668</v>
      </c>
    </row>
    <row r="29" spans="2:8" x14ac:dyDescent="0.25">
      <c r="B29" s="207" t="s">
        <v>113</v>
      </c>
      <c r="C29" s="203">
        <f>IRR(C26:H26)</f>
        <v>0.46133111807035165</v>
      </c>
      <c r="D29" s="105" t="s">
        <v>108</v>
      </c>
    </row>
    <row r="30" spans="2:8" x14ac:dyDescent="0.25">
      <c r="B30" s="206" t="s">
        <v>110</v>
      </c>
      <c r="C30" s="204">
        <f>PMT(' Ingresos y Datos de Entrada'!G29,H5,,-C28)</f>
        <v>11844394.764937647</v>
      </c>
    </row>
    <row r="31" spans="2:8" x14ac:dyDescent="0.25">
      <c r="B31" s="207" t="s">
        <v>117</v>
      </c>
      <c r="C31" s="205">
        <f>INTERCEPT(T8:T9,W8:W9)</f>
        <v>4.0350697381368636</v>
      </c>
      <c r="D31" s="105" t="s">
        <v>116</v>
      </c>
    </row>
    <row r="32" spans="2:8" ht="15.75" thickBot="1" x14ac:dyDescent="0.3"/>
    <row r="33" spans="2:3" x14ac:dyDescent="0.25">
      <c r="B33" s="195" t="s">
        <v>18</v>
      </c>
      <c r="C33" s="196">
        <f>H26/' Ingresos y Datos de Entrada'!G29</f>
        <v>1229739407.2148991</v>
      </c>
    </row>
    <row r="34" spans="2:3" x14ac:dyDescent="0.25">
      <c r="B34" s="197" t="s">
        <v>19</v>
      </c>
      <c r="C34" s="198">
        <f>+PV(' Ingresos y Datos de Entrada'!G29,5,,-C33)</f>
        <v>402961008.95617813</v>
      </c>
    </row>
    <row r="35" spans="2:3" x14ac:dyDescent="0.25">
      <c r="B35" s="197" t="s">
        <v>20</v>
      </c>
      <c r="C35" s="199">
        <f>C28+C34</f>
        <v>500168326.92935777</v>
      </c>
    </row>
    <row r="36" spans="2:3" x14ac:dyDescent="0.25">
      <c r="B36" s="197" t="s">
        <v>111</v>
      </c>
      <c r="C36" s="210">
        <f>+C17+C20</f>
        <v>140000000</v>
      </c>
    </row>
    <row r="37" spans="2:3" ht="19.5" customHeight="1" thickBot="1" x14ac:dyDescent="0.3">
      <c r="B37" s="200" t="s">
        <v>21</v>
      </c>
      <c r="C37" s="201">
        <f>+C35-C36</f>
        <v>360168326.92935777</v>
      </c>
    </row>
  </sheetData>
  <sheetProtection algorithmName="SHA-512" hashValue="Chs7hyR6sAiGL4NXUw0fB/cKj2UJ9Yk2unxicRl9bvgUWZkZRhjSuuDQu6cZkEFvM4xwZVDmqWMR8OoAT1OFKA==" saltValue="6/eq0lgy9Y9hyyntw0yuaQ==" spinCount="100000" sheet="1" objects="1" scenarios="1" selectLockedCells="1" selectUnlockedCells="1"/>
  <mergeCells count="2">
    <mergeCell ref="B3:H3"/>
    <mergeCell ref="B4:H4"/>
  </mergeCells>
  <pageMargins left="0.7" right="0.7" top="0.75" bottom="0.75" header="0.3" footer="0.3"/>
  <ignoredErrors>
    <ignoredError sqref="C31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 Ingresos y Datos de Entrada</vt:lpstr>
      <vt:lpstr>Costos y Gastos</vt:lpstr>
      <vt:lpstr>Activo Fijo y Depreciación</vt:lpstr>
      <vt:lpstr>Estados Financieros</vt:lpstr>
      <vt:lpstr>Flujo de Caja Libre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EDWIN PRIETO CLAVIJO</dc:creator>
  <cp:lastModifiedBy>EDWIN PRIETO CLAVIJO</cp:lastModifiedBy>
  <dcterms:created xsi:type="dcterms:W3CDTF">2020-11-15T02:12:11Z</dcterms:created>
  <dcterms:modified xsi:type="dcterms:W3CDTF">2020-12-14T22:25:13Z</dcterms:modified>
</cp:coreProperties>
</file>