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D:\6. Universidad Piloto\OTROS TRABAJOS\TRABAJO PFI\"/>
    </mc:Choice>
  </mc:AlternateContent>
  <bookViews>
    <workbookView xWindow="0" yWindow="0" windowWidth="20490" windowHeight="7620" tabRatio="726" firstSheet="1" activeTab="4"/>
  </bookViews>
  <sheets>
    <sheet name="BALANCE INICIAL" sheetId="3" state="hidden" r:id="rId1"/>
    <sheet name="PROYECCIONES" sheetId="8" r:id="rId2"/>
    <sheet name="INGRESOS" sheetId="7" r:id="rId3"/>
    <sheet name="DETALLE COSTOS" sheetId="5" r:id="rId4"/>
    <sheet name="CAPITAL E INVERSION" sheetId="2" r:id="rId5"/>
    <sheet name="Estado Financiero" sheetId="4" r:id="rId6"/>
  </sheets>
  <definedNames>
    <definedName name="Descargas" localSheetId="2">PROYECCIONES!$A$31</definedName>
    <definedName name="Descargas">'CAPITAL E INVERSION'!#REF!</definedName>
    <definedName name="Descargas_Año" localSheetId="2">PROYECCIONES!$B$31</definedName>
    <definedName name="Descargas_Año">'CAPITAL E INVERSION'!#REF!</definedName>
    <definedName name="Historico" localSheetId="2">'Estado Financiero'!#REF!</definedName>
    <definedName name="Historico">'Estado Financiero'!#REF!</definedName>
    <definedName name="Histórico" localSheetId="2">INGRESOS!#REF!</definedName>
    <definedName name="Histórico">'CAPITAL E INVERSION'!$Z$33</definedName>
    <definedName name="Macroeconomico" localSheetId="2">INGRESOS!#REF!</definedName>
    <definedName name="Macroeconomico">'CAPITAL E INVERSION'!$Z$32</definedName>
    <definedName name="Moderado" localSheetId="2">INGRESOS!#REF!</definedName>
    <definedName name="Moderado">'CAPITAL E INVERSION'!#REF!</definedName>
    <definedName name="Pesimista" localSheetId="2">INGRESOS!#REF!</definedName>
    <definedName name="Pesimista">'CAPITAL E INVERSION'!$Z$33</definedName>
    <definedName name="Pssimista" localSheetId="2">INGRESOS!#REF!</definedName>
    <definedName name="Pssimista">'CAPITAL E INVERSION'!$Z$33</definedName>
  </definedNames>
  <calcPr calcId="162913"/>
  <pivotCaches>
    <pivotCache cacheId="7" r:id="rId7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2" i="2" l="1"/>
  <c r="C170" i="2"/>
  <c r="C169" i="2"/>
  <c r="C168" i="2"/>
  <c r="C167" i="2"/>
  <c r="C166" i="2"/>
  <c r="D166" i="2" s="1"/>
  <c r="D167" i="2" s="1"/>
  <c r="D168" i="2" s="1"/>
  <c r="D155" i="2"/>
  <c r="D169" i="2" l="1"/>
  <c r="D170" i="2" s="1"/>
  <c r="G120" i="4" l="1"/>
  <c r="G47" i="4"/>
  <c r="F47" i="4"/>
  <c r="C47" i="7" l="1"/>
  <c r="C49" i="7" l="1"/>
  <c r="K6" i="8" l="1"/>
  <c r="E6" i="8"/>
  <c r="J25" i="2"/>
  <c r="G26" i="2"/>
  <c r="G27" i="2" s="1"/>
  <c r="G25" i="2"/>
  <c r="D11" i="5"/>
  <c r="D10" i="5"/>
  <c r="D9" i="5"/>
  <c r="D8" i="5"/>
  <c r="E8" i="5"/>
  <c r="D7" i="5"/>
  <c r="Q36" i="5"/>
  <c r="R36" i="5" s="1"/>
  <c r="Q31" i="5"/>
  <c r="R31" i="5" s="1"/>
  <c r="J27" i="2" l="1"/>
  <c r="D12" i="5"/>
  <c r="J26" i="2"/>
  <c r="S31" i="5"/>
  <c r="S36" i="5"/>
  <c r="T31" i="5" l="1"/>
  <c r="T36" i="5"/>
  <c r="U31" i="5" l="1"/>
  <c r="U36" i="5"/>
  <c r="Q30" i="5" l="1"/>
  <c r="R30" i="5" s="1"/>
  <c r="S30" i="5" s="1"/>
  <c r="T30" i="5" s="1"/>
  <c r="U30" i="5" s="1"/>
  <c r="J8" i="2" l="1"/>
  <c r="J31" i="4"/>
  <c r="D24" i="7"/>
  <c r="D23" i="7"/>
  <c r="L19" i="7" l="1"/>
  <c r="G24" i="7" s="1"/>
  <c r="L17" i="7"/>
  <c r="G23" i="7" s="1"/>
  <c r="H50" i="8" l="1"/>
  <c r="I50" i="8"/>
  <c r="H51" i="8"/>
  <c r="I51" i="8" s="1"/>
  <c r="H52" i="8"/>
  <c r="I52" i="8" s="1"/>
  <c r="C45" i="8"/>
  <c r="C49" i="8"/>
  <c r="M6" i="8"/>
  <c r="L6" i="8"/>
  <c r="J6" i="8"/>
  <c r="I6" i="8"/>
  <c r="G6" i="8"/>
  <c r="F6" i="8"/>
  <c r="D6" i="8"/>
  <c r="C6" i="8"/>
  <c r="M2" i="8"/>
  <c r="L2" i="8"/>
  <c r="K2" i="8"/>
  <c r="J2" i="8"/>
  <c r="I2" i="8"/>
  <c r="G2" i="8"/>
  <c r="F2" i="8"/>
  <c r="E2" i="8"/>
  <c r="D2" i="8"/>
  <c r="C2" i="8"/>
  <c r="K24" i="8"/>
  <c r="J24" i="8"/>
  <c r="I24" i="8"/>
  <c r="H24" i="8"/>
  <c r="G24" i="8"/>
  <c r="A15" i="8"/>
  <c r="D66" i="2"/>
  <c r="D65" i="2"/>
  <c r="D144" i="2" s="1"/>
  <c r="B66" i="2"/>
  <c r="B43" i="2"/>
  <c r="D106" i="2"/>
  <c r="I96" i="2"/>
  <c r="I116" i="2" s="1"/>
  <c r="G6" i="2"/>
  <c r="J6" i="2" s="1"/>
  <c r="I94" i="2"/>
  <c r="H94" i="2"/>
  <c r="G94" i="2"/>
  <c r="F94" i="2"/>
  <c r="E94" i="2"/>
  <c r="F8" i="5" l="1"/>
  <c r="G8" i="5"/>
  <c r="I100" i="2"/>
  <c r="I108" i="2" s="1"/>
  <c r="H8" i="5" l="1"/>
  <c r="D74" i="2"/>
  <c r="D73" i="2"/>
  <c r="G41" i="8" l="1"/>
  <c r="G42" i="8"/>
  <c r="D47" i="2"/>
  <c r="D98" i="2" l="1"/>
  <c r="D118" i="2"/>
  <c r="Q32" i="5"/>
  <c r="R32" i="5" s="1"/>
  <c r="S32" i="5" s="1"/>
  <c r="T32" i="5" s="1"/>
  <c r="U32" i="5" s="1"/>
  <c r="Q24" i="5"/>
  <c r="R24" i="5" s="1"/>
  <c r="S24" i="5" s="1"/>
  <c r="T24" i="5" s="1"/>
  <c r="U24" i="5" s="1"/>
  <c r="Q23" i="5"/>
  <c r="R23" i="5" s="1"/>
  <c r="S23" i="5" l="1"/>
  <c r="E57" i="5"/>
  <c r="Q57" i="5" s="1"/>
  <c r="R57" i="5" s="1"/>
  <c r="S57" i="5" s="1"/>
  <c r="T57" i="5" s="1"/>
  <c r="U57" i="5" s="1"/>
  <c r="E56" i="5"/>
  <c r="E55" i="5"/>
  <c r="T23" i="5" l="1"/>
  <c r="Q28" i="5"/>
  <c r="R28" i="5" s="1"/>
  <c r="S28" i="5" s="1"/>
  <c r="T28" i="5" s="1"/>
  <c r="U28" i="5" s="1"/>
  <c r="Q29" i="5"/>
  <c r="Q39" i="5"/>
  <c r="R39" i="5" s="1"/>
  <c r="S39" i="5" s="1"/>
  <c r="T39" i="5" s="1"/>
  <c r="U39" i="5" s="1"/>
  <c r="Q38" i="5"/>
  <c r="R38" i="5" s="1"/>
  <c r="S38" i="5" s="1"/>
  <c r="T38" i="5" s="1"/>
  <c r="U38" i="5" s="1"/>
  <c r="Q37" i="5"/>
  <c r="R37" i="5" s="1"/>
  <c r="S37" i="5" s="1"/>
  <c r="T37" i="5" s="1"/>
  <c r="U37" i="5" s="1"/>
  <c r="Q35" i="5"/>
  <c r="R35" i="5" s="1"/>
  <c r="E9" i="5"/>
  <c r="E10" i="5"/>
  <c r="E11" i="5"/>
  <c r="D5" i="5"/>
  <c r="D4" i="5"/>
  <c r="E4" i="5" s="1"/>
  <c r="L52" i="7"/>
  <c r="A37" i="7"/>
  <c r="A36" i="7"/>
  <c r="A35" i="7"/>
  <c r="S35" i="5" l="1"/>
  <c r="U23" i="5"/>
  <c r="R29" i="5"/>
  <c r="D6" i="5"/>
  <c r="E5" i="5"/>
  <c r="E6" i="5" s="1"/>
  <c r="E7" i="5"/>
  <c r="E12" i="5" s="1"/>
  <c r="T35" i="5" l="1"/>
  <c r="S29" i="5"/>
  <c r="E40" i="5"/>
  <c r="N40" i="5"/>
  <c r="J40" i="5"/>
  <c r="F40" i="5"/>
  <c r="O40" i="5"/>
  <c r="M40" i="5"/>
  <c r="I40" i="5"/>
  <c r="K40" i="5"/>
  <c r="P40" i="5"/>
  <c r="L40" i="5"/>
  <c r="H40" i="5"/>
  <c r="G40" i="5"/>
  <c r="I25" i="5"/>
  <c r="M25" i="5"/>
  <c r="E25" i="5"/>
  <c r="L25" i="5"/>
  <c r="F25" i="5"/>
  <c r="J25" i="5"/>
  <c r="N25" i="5"/>
  <c r="H25" i="5"/>
  <c r="P25" i="5"/>
  <c r="G25" i="5"/>
  <c r="K25" i="5"/>
  <c r="O25" i="5"/>
  <c r="U35" i="5" l="1"/>
  <c r="T29" i="5"/>
  <c r="Q40" i="5"/>
  <c r="Q25" i="5"/>
  <c r="R40" i="5" l="1"/>
  <c r="S40" i="5" s="1"/>
  <c r="R25" i="5"/>
  <c r="U29" i="5"/>
  <c r="S25" i="5" l="1"/>
  <c r="T40" i="5"/>
  <c r="T25" i="5" l="1"/>
  <c r="U40" i="5"/>
  <c r="U25" i="5" l="1"/>
  <c r="G20" i="2" l="1"/>
  <c r="I33" i="2" l="1"/>
  <c r="H33" i="2"/>
  <c r="G33" i="2"/>
  <c r="F33" i="2"/>
  <c r="E33" i="2"/>
  <c r="F64" i="4"/>
  <c r="G64" i="4" s="1"/>
  <c r="H64" i="4" s="1"/>
  <c r="I64" i="4" s="1"/>
  <c r="J64" i="4" s="1"/>
  <c r="F63" i="4"/>
  <c r="G63" i="4" s="1"/>
  <c r="H63" i="4" s="1"/>
  <c r="I63" i="4" s="1"/>
  <c r="J63" i="4" s="1"/>
  <c r="F61" i="4"/>
  <c r="G61" i="4" s="1"/>
  <c r="H61" i="4" s="1"/>
  <c r="I61" i="4" s="1"/>
  <c r="J61" i="4" s="1"/>
  <c r="Q33" i="5"/>
  <c r="R33" i="5" s="1"/>
  <c r="S33" i="5" s="1"/>
  <c r="T33" i="5" s="1"/>
  <c r="U33" i="5" s="1"/>
  <c r="Q46" i="5"/>
  <c r="R46" i="5" s="1"/>
  <c r="S46" i="5" s="1"/>
  <c r="T46" i="5" s="1"/>
  <c r="U46" i="5" s="1"/>
  <c r="Q56" i="5"/>
  <c r="R56" i="5" s="1"/>
  <c r="S56" i="5" s="1"/>
  <c r="T56" i="5" s="1"/>
  <c r="U56" i="5" s="1"/>
  <c r="Q55" i="5"/>
  <c r="R55" i="5" s="1"/>
  <c r="S55" i="5" s="1"/>
  <c r="T55" i="5" s="1"/>
  <c r="U55" i="5" s="1"/>
  <c r="Q48" i="5"/>
  <c r="R48" i="5" s="1"/>
  <c r="S48" i="5" s="1"/>
  <c r="T48" i="5" s="1"/>
  <c r="U48" i="5" s="1"/>
  <c r="Q47" i="5"/>
  <c r="R47" i="5" s="1"/>
  <c r="S47" i="5" s="1"/>
  <c r="T47" i="5" s="1"/>
  <c r="U47" i="5" s="1"/>
  <c r="Q45" i="5"/>
  <c r="R45" i="5" s="1"/>
  <c r="S45" i="5" s="1"/>
  <c r="T45" i="5" s="1"/>
  <c r="U45" i="5" s="1"/>
  <c r="Q44" i="5"/>
  <c r="R44" i="5" s="1"/>
  <c r="S44" i="5" s="1"/>
  <c r="T44" i="5" s="1"/>
  <c r="U44" i="5" s="1"/>
  <c r="AB21" i="2"/>
  <c r="B9" i="8" s="1"/>
  <c r="AC21" i="2"/>
  <c r="C9" i="8" s="1"/>
  <c r="AD21" i="2"/>
  <c r="D9" i="8" s="1"/>
  <c r="AE21" i="2"/>
  <c r="E9" i="8" s="1"/>
  <c r="AF21" i="2"/>
  <c r="F9" i="8" s="1"/>
  <c r="AH21" i="2"/>
  <c r="AI21" i="2"/>
  <c r="AJ21" i="2"/>
  <c r="AK21" i="2"/>
  <c r="AL21" i="2"/>
  <c r="Q50" i="5" l="1"/>
  <c r="R50" i="5" s="1"/>
  <c r="S50" i="5" s="1"/>
  <c r="T50" i="5" s="1"/>
  <c r="U50" i="5" s="1"/>
  <c r="F4" i="5"/>
  <c r="G10" i="5"/>
  <c r="G5" i="5"/>
  <c r="F10" i="5"/>
  <c r="F5" i="5"/>
  <c r="G7" i="5"/>
  <c r="F7" i="5"/>
  <c r="G9" i="5"/>
  <c r="F9" i="5"/>
  <c r="G4" i="5"/>
  <c r="F11" i="5"/>
  <c r="G11" i="5"/>
  <c r="Q49" i="5"/>
  <c r="R49" i="5" s="1"/>
  <c r="S49" i="5" s="1"/>
  <c r="T49" i="5" s="1"/>
  <c r="U49" i="5" s="1"/>
  <c r="G80" i="4"/>
  <c r="G158" i="4" s="1"/>
  <c r="H80" i="4"/>
  <c r="H158" i="4" s="1"/>
  <c r="I80" i="4"/>
  <c r="I158" i="4" s="1"/>
  <c r="J80" i="4"/>
  <c r="J158" i="4" s="1"/>
  <c r="F80" i="4"/>
  <c r="F12" i="5" l="1"/>
  <c r="G12" i="5"/>
  <c r="F158" i="4"/>
  <c r="F6" i="5"/>
  <c r="G6" i="5"/>
  <c r="H9" i="5"/>
  <c r="H5" i="5"/>
  <c r="H11" i="5"/>
  <c r="H10" i="5"/>
  <c r="H4" i="5"/>
  <c r="H7" i="5"/>
  <c r="J161" i="4"/>
  <c r="I161" i="4"/>
  <c r="H161" i="4"/>
  <c r="G161" i="4"/>
  <c r="A86" i="4"/>
  <c r="A151" i="4" s="1"/>
  <c r="H12" i="5" l="1"/>
  <c r="E41" i="5"/>
  <c r="O41" i="5"/>
  <c r="K41" i="5"/>
  <c r="G41" i="5"/>
  <c r="N41" i="5"/>
  <c r="J41" i="5"/>
  <c r="F41" i="5"/>
  <c r="P41" i="5"/>
  <c r="M41" i="5"/>
  <c r="I41" i="5"/>
  <c r="L41" i="5"/>
  <c r="H41" i="5"/>
  <c r="E42" i="5"/>
  <c r="P42" i="5"/>
  <c r="L42" i="5"/>
  <c r="H42" i="5"/>
  <c r="O42" i="5"/>
  <c r="K42" i="5"/>
  <c r="G42" i="5"/>
  <c r="N42" i="5"/>
  <c r="J42" i="5"/>
  <c r="F42" i="5"/>
  <c r="M42" i="5"/>
  <c r="I42" i="5"/>
  <c r="I27" i="5"/>
  <c r="M27" i="5"/>
  <c r="L27" i="5"/>
  <c r="F27" i="5"/>
  <c r="J27" i="5"/>
  <c r="N27" i="5"/>
  <c r="H27" i="5"/>
  <c r="G27" i="5"/>
  <c r="K27" i="5"/>
  <c r="O27" i="5"/>
  <c r="P27" i="5"/>
  <c r="E27" i="5"/>
  <c r="F26" i="5"/>
  <c r="J26" i="5"/>
  <c r="N26" i="5"/>
  <c r="E26" i="5"/>
  <c r="E34" i="5" s="1"/>
  <c r="I26" i="5"/>
  <c r="I34" i="5" s="1"/>
  <c r="G26" i="5"/>
  <c r="K26" i="5"/>
  <c r="O26" i="5"/>
  <c r="M26" i="5"/>
  <c r="H26" i="5"/>
  <c r="L26" i="5"/>
  <c r="L34" i="5" s="1"/>
  <c r="P26" i="5"/>
  <c r="H6" i="5"/>
  <c r="H13" i="5" s="1"/>
  <c r="Q43" i="5"/>
  <c r="R43" i="5" s="1"/>
  <c r="S43" i="5" s="1"/>
  <c r="T43" i="5" s="1"/>
  <c r="U43" i="5" s="1"/>
  <c r="F124" i="4"/>
  <c r="F131" i="4" s="1"/>
  <c r="F137" i="4" s="1"/>
  <c r="F34" i="5" l="1"/>
  <c r="G34" i="5"/>
  <c r="E51" i="5"/>
  <c r="N34" i="5"/>
  <c r="I51" i="5"/>
  <c r="J51" i="5"/>
  <c r="O51" i="5"/>
  <c r="H34" i="5"/>
  <c r="P34" i="5"/>
  <c r="K34" i="5"/>
  <c r="F51" i="5"/>
  <c r="K51" i="5"/>
  <c r="J34" i="5"/>
  <c r="M34" i="5"/>
  <c r="O34" i="5"/>
  <c r="L51" i="5"/>
  <c r="M51" i="5"/>
  <c r="N51" i="5"/>
  <c r="H51" i="5"/>
  <c r="P51" i="5"/>
  <c r="G51" i="5"/>
  <c r="Q42" i="5"/>
  <c r="R42" i="5" s="1"/>
  <c r="S42" i="5" s="1"/>
  <c r="T42" i="5" s="1"/>
  <c r="U42" i="5" s="1"/>
  <c r="Q41" i="5"/>
  <c r="Q27" i="5"/>
  <c r="R27" i="5" s="1"/>
  <c r="S27" i="5" s="1"/>
  <c r="T27" i="5" s="1"/>
  <c r="U27" i="5" s="1"/>
  <c r="Q26" i="5"/>
  <c r="F73" i="5" s="1"/>
  <c r="F12" i="4"/>
  <c r="F58" i="4" s="1"/>
  <c r="F78" i="4" s="1"/>
  <c r="F90" i="4" s="1"/>
  <c r="F97" i="4" s="1"/>
  <c r="G12" i="4"/>
  <c r="G58" i="4" s="1"/>
  <c r="G78" i="4" s="1"/>
  <c r="G90" i="4" s="1"/>
  <c r="G97" i="4" s="1"/>
  <c r="R41" i="5" l="1"/>
  <c r="G74" i="5" s="1"/>
  <c r="F74" i="5"/>
  <c r="R26" i="5"/>
  <c r="G73" i="5" s="1"/>
  <c r="Q34" i="5"/>
  <c r="S41" i="5"/>
  <c r="H74" i="5" s="1"/>
  <c r="R51" i="5"/>
  <c r="Q51" i="5"/>
  <c r="I55" i="8" s="1"/>
  <c r="H12" i="4"/>
  <c r="H58" i="4" s="1"/>
  <c r="H78" i="4" s="1"/>
  <c r="H90" i="4" s="1"/>
  <c r="H97" i="4" s="1"/>
  <c r="S26" i="5" l="1"/>
  <c r="H73" i="5" s="1"/>
  <c r="R34" i="5"/>
  <c r="T41" i="5"/>
  <c r="I74" i="5" s="1"/>
  <c r="S51" i="5"/>
  <c r="I12" i="4"/>
  <c r="I58" i="4" s="1"/>
  <c r="I78" i="4" s="1"/>
  <c r="I90" i="4" s="1"/>
  <c r="I97" i="4" s="1"/>
  <c r="T26" i="5" l="1"/>
  <c r="I73" i="5" s="1"/>
  <c r="S34" i="5"/>
  <c r="U41" i="5"/>
  <c r="T51" i="5"/>
  <c r="J12" i="4"/>
  <c r="J58" i="4" s="1"/>
  <c r="J78" i="4" s="1"/>
  <c r="J90" i="4" s="1"/>
  <c r="J97" i="4" s="1"/>
  <c r="U51" i="5" l="1"/>
  <c r="J74" i="5"/>
  <c r="U26" i="5"/>
  <c r="T34" i="5"/>
  <c r="U34" i="5" l="1"/>
  <c r="J73" i="5"/>
  <c r="F8" i="3"/>
  <c r="L7" i="3" l="1"/>
  <c r="L9" i="3" s="1"/>
  <c r="E48" i="2"/>
  <c r="E76" i="2" s="1"/>
  <c r="E120" i="2" s="1"/>
  <c r="E124" i="2" s="1"/>
  <c r="B44" i="2"/>
  <c r="I49" i="2" s="1"/>
  <c r="G21" i="2"/>
  <c r="G15" i="2"/>
  <c r="G14" i="2"/>
  <c r="G13" i="2"/>
  <c r="G7" i="2"/>
  <c r="J7" i="2" s="1"/>
  <c r="G5" i="2"/>
  <c r="J5" i="2" l="1"/>
  <c r="G9" i="2"/>
  <c r="J9" i="2" s="1"/>
  <c r="F70" i="4"/>
  <c r="E53" i="2"/>
  <c r="F14" i="3"/>
  <c r="J21" i="2"/>
  <c r="H49" i="2"/>
  <c r="G49" i="2"/>
  <c r="E49" i="2"/>
  <c r="E50" i="2" s="1"/>
  <c r="E54" i="2" s="1"/>
  <c r="E86" i="2" s="1"/>
  <c r="E122" i="2" s="1"/>
  <c r="F49" i="2"/>
  <c r="F9" i="3"/>
  <c r="G16" i="2"/>
  <c r="D94" i="2"/>
  <c r="J16" i="2" l="1"/>
  <c r="E32" i="2" s="1"/>
  <c r="E47" i="2"/>
  <c r="F12" i="3"/>
  <c r="F39" i="4" l="1"/>
  <c r="F31" i="2"/>
  <c r="E31" i="2"/>
  <c r="F79" i="4" s="1"/>
  <c r="F65" i="4" s="1"/>
  <c r="G31" i="2"/>
  <c r="H31" i="2"/>
  <c r="I31" i="2"/>
  <c r="F32" i="2"/>
  <c r="I32" i="2"/>
  <c r="G32" i="2"/>
  <c r="H32" i="2"/>
  <c r="F48" i="2"/>
  <c r="F76" i="2" s="1"/>
  <c r="F120" i="2" s="1"/>
  <c r="F124" i="2" s="1"/>
  <c r="F16" i="3"/>
  <c r="F19" i="3" s="1"/>
  <c r="L14" i="3"/>
  <c r="G79" i="4" l="1"/>
  <c r="G65" i="4" s="1"/>
  <c r="I79" i="4"/>
  <c r="I65" i="4" s="1"/>
  <c r="J79" i="4"/>
  <c r="J65" i="4" s="1"/>
  <c r="H79" i="4"/>
  <c r="H65" i="4" s="1"/>
  <c r="I34" i="2"/>
  <c r="F50" i="2"/>
  <c r="F31" i="4" s="1"/>
  <c r="F37" i="4" s="1"/>
  <c r="F53" i="2"/>
  <c r="H34" i="2"/>
  <c r="F34" i="2"/>
  <c r="E34" i="2"/>
  <c r="G34" i="2"/>
  <c r="G70" i="4"/>
  <c r="F42" i="4"/>
  <c r="L16" i="3"/>
  <c r="L19" i="3" s="1"/>
  <c r="F26" i="4"/>
  <c r="F44" i="4" l="1"/>
  <c r="F143" i="4" s="1"/>
  <c r="I75" i="2"/>
  <c r="I84" i="2" s="1"/>
  <c r="J157" i="4"/>
  <c r="F75" i="2"/>
  <c r="H75" i="2"/>
  <c r="H84" i="2" s="1"/>
  <c r="F157" i="4"/>
  <c r="E75" i="2"/>
  <c r="E84" i="2" s="1"/>
  <c r="H157" i="4"/>
  <c r="G75" i="2"/>
  <c r="G84" i="2" s="1"/>
  <c r="F47" i="2"/>
  <c r="F54" i="2"/>
  <c r="F86" i="2" s="1"/>
  <c r="F122" i="2" s="1"/>
  <c r="G48" i="2" l="1"/>
  <c r="G76" i="2" s="1"/>
  <c r="G120" i="2" s="1"/>
  <c r="G124" i="2" s="1"/>
  <c r="G39" i="4"/>
  <c r="E51" i="2"/>
  <c r="F133" i="4"/>
  <c r="F134" i="4"/>
  <c r="F84" i="2"/>
  <c r="G132" i="2" s="1"/>
  <c r="G157" i="4"/>
  <c r="D80" i="2"/>
  <c r="I157" i="4"/>
  <c r="H70" i="4" l="1"/>
  <c r="G53" i="2"/>
  <c r="G50" i="2"/>
  <c r="G31" i="4" s="1"/>
  <c r="H47" i="4"/>
  <c r="G47" i="2" l="1"/>
  <c r="H48" i="2" s="1"/>
  <c r="H76" i="2" s="1"/>
  <c r="G54" i="2"/>
  <c r="G86" i="2" s="1"/>
  <c r="G122" i="2" s="1"/>
  <c r="H39" i="4"/>
  <c r="I47" i="4"/>
  <c r="H50" i="2" l="1"/>
  <c r="H31" i="4" s="1"/>
  <c r="H120" i="2"/>
  <c r="H124" i="2" s="1"/>
  <c r="I70" i="4"/>
  <c r="H53" i="2"/>
  <c r="J47" i="4"/>
  <c r="H54" i="2" l="1"/>
  <c r="H86" i="2" s="1"/>
  <c r="H47" i="2"/>
  <c r="I48" i="2"/>
  <c r="I76" i="2" s="1"/>
  <c r="I39" i="4"/>
  <c r="H122" i="2"/>
  <c r="I120" i="2" l="1"/>
  <c r="I124" i="2" s="1"/>
  <c r="J70" i="4"/>
  <c r="I50" i="2"/>
  <c r="I31" i="4" s="1"/>
  <c r="I53" i="2"/>
  <c r="I54" i="2" l="1"/>
  <c r="I86" i="2" s="1"/>
  <c r="I47" i="2"/>
  <c r="J39" i="4" s="1"/>
  <c r="I122" i="2"/>
  <c r="B3" i="7" l="1"/>
  <c r="B5" i="7" s="1"/>
  <c r="B7" i="7" s="1"/>
  <c r="C12" i="7" s="1"/>
  <c r="F27" i="8"/>
  <c r="H26" i="8"/>
  <c r="G23" i="4" s="1"/>
  <c r="G14" i="4" l="1"/>
  <c r="F12" i="7"/>
  <c r="B9" i="7"/>
  <c r="C14" i="7" s="1"/>
  <c r="F14" i="7" s="1"/>
  <c r="G16" i="4"/>
  <c r="G41" i="4"/>
  <c r="G25" i="4"/>
  <c r="G24" i="4"/>
  <c r="G21" i="4"/>
  <c r="G36" i="4"/>
  <c r="G35" i="4"/>
  <c r="I26" i="8"/>
  <c r="H23" i="4" s="1"/>
  <c r="I23" i="4" s="1"/>
  <c r="J23" i="4" s="1"/>
  <c r="G26" i="8"/>
  <c r="J26" i="8"/>
  <c r="K26" i="8"/>
  <c r="G40" i="4"/>
  <c r="G22" i="4"/>
  <c r="H22" i="4" s="1"/>
  <c r="B29" i="8"/>
  <c r="B31" i="8" s="1"/>
  <c r="G17" i="4"/>
  <c r="B8" i="7"/>
  <c r="C13" i="7" s="1"/>
  <c r="F13" i="7" s="1"/>
  <c r="G18" i="4"/>
  <c r="H18" i="4" s="1"/>
  <c r="H14" i="4"/>
  <c r="H17" i="4" l="1"/>
  <c r="I17" i="4" s="1"/>
  <c r="J17" i="4" s="1"/>
  <c r="H25" i="4"/>
  <c r="I25" i="4" s="1"/>
  <c r="J25" i="4" s="1"/>
  <c r="H36" i="4"/>
  <c r="H41" i="4"/>
  <c r="I41" i="4" s="1"/>
  <c r="J41" i="4" s="1"/>
  <c r="C15" i="7"/>
  <c r="F17" i="7" s="1"/>
  <c r="F19" i="7"/>
  <c r="I36" i="4"/>
  <c r="J36" i="4" s="1"/>
  <c r="I18" i="4"/>
  <c r="J18" i="4" s="1"/>
  <c r="I22" i="4"/>
  <c r="J22" i="4" s="1"/>
  <c r="G26" i="4"/>
  <c r="H21" i="4"/>
  <c r="H16" i="4"/>
  <c r="I16" i="4" s="1"/>
  <c r="J16" i="4" s="1"/>
  <c r="J12" i="7"/>
  <c r="K12" i="7" s="1"/>
  <c r="F15" i="7"/>
  <c r="G15" i="7" s="1"/>
  <c r="H35" i="4"/>
  <c r="G37" i="4"/>
  <c r="J14" i="7"/>
  <c r="K14" i="7" s="1"/>
  <c r="I14" i="4"/>
  <c r="J13" i="7"/>
  <c r="K13" i="7" s="1"/>
  <c r="G42" i="4"/>
  <c r="H40" i="4"/>
  <c r="H24" i="4"/>
  <c r="I24" i="4" s="1"/>
  <c r="J24" i="4" s="1"/>
  <c r="G44" i="4" l="1"/>
  <c r="G14" i="7"/>
  <c r="I14" i="7" s="1"/>
  <c r="G12" i="7"/>
  <c r="I12" i="7" s="1"/>
  <c r="G13" i="7"/>
  <c r="I13" i="7" s="1"/>
  <c r="J14" i="4"/>
  <c r="J17" i="7"/>
  <c r="K17" i="7" s="1"/>
  <c r="G17" i="7"/>
  <c r="F48" i="8"/>
  <c r="H48" i="8" s="1"/>
  <c r="I48" i="8" s="1"/>
  <c r="F41" i="8"/>
  <c r="H41" i="8" s="1"/>
  <c r="I41" i="8" s="1"/>
  <c r="C23" i="7"/>
  <c r="B35" i="8"/>
  <c r="B33" i="8"/>
  <c r="G21" i="8"/>
  <c r="H21" i="8" s="1"/>
  <c r="I21" i="8" s="1"/>
  <c r="J21" i="8" s="1"/>
  <c r="K21" i="8" s="1"/>
  <c r="B34" i="8"/>
  <c r="I35" i="4"/>
  <c r="H37" i="4"/>
  <c r="I56" i="8"/>
  <c r="C22" i="7"/>
  <c r="F40" i="8"/>
  <c r="H26" i="4"/>
  <c r="I21" i="4"/>
  <c r="I40" i="4"/>
  <c r="H42" i="4"/>
  <c r="I15" i="7"/>
  <c r="G19" i="7"/>
  <c r="J19" i="7"/>
  <c r="K19" i="7" s="1"/>
  <c r="C24" i="7"/>
  <c r="F42" i="8"/>
  <c r="H42" i="8" s="1"/>
  <c r="I42" i="8" s="1"/>
  <c r="E36" i="7" l="1"/>
  <c r="I36" i="7"/>
  <c r="H36" i="7"/>
  <c r="B36" i="7"/>
  <c r="K36" i="7"/>
  <c r="F36" i="7"/>
  <c r="D36" i="7"/>
  <c r="G36" i="7"/>
  <c r="J36" i="7"/>
  <c r="M36" i="7"/>
  <c r="C36" i="7"/>
  <c r="L36" i="7"/>
  <c r="J40" i="4"/>
  <c r="J42" i="4" s="1"/>
  <c r="I42" i="4"/>
  <c r="I37" i="4"/>
  <c r="J35" i="4"/>
  <c r="J37" i="4" s="1"/>
  <c r="J21" i="4"/>
  <c r="J26" i="4" s="1"/>
  <c r="I26" i="4"/>
  <c r="C25" i="7"/>
  <c r="L15" i="7"/>
  <c r="D22" i="7"/>
  <c r="J15" i="7"/>
  <c r="K15" i="7" s="1"/>
  <c r="F37" i="7"/>
  <c r="I37" i="7"/>
  <c r="J37" i="7"/>
  <c r="C37" i="7"/>
  <c r="D37" i="7"/>
  <c r="E37" i="7"/>
  <c r="L37" i="7"/>
  <c r="G37" i="7"/>
  <c r="M37" i="7"/>
  <c r="K37" i="7"/>
  <c r="H37" i="7"/>
  <c r="B37" i="7"/>
  <c r="F46" i="8"/>
  <c r="H46" i="8" s="1"/>
  <c r="I46" i="8" s="1"/>
  <c r="E54" i="5" s="1"/>
  <c r="Q54" i="5" s="1"/>
  <c r="R54" i="5" s="1"/>
  <c r="S54" i="5" s="1"/>
  <c r="T54" i="5" s="1"/>
  <c r="U54" i="5" s="1"/>
  <c r="H44" i="4"/>
  <c r="N37" i="7" l="1"/>
  <c r="G40" i="8"/>
  <c r="H40" i="8" s="1"/>
  <c r="I40" i="8" s="1"/>
  <c r="I43" i="8" s="1"/>
  <c r="G22" i="7"/>
  <c r="L20" i="7"/>
  <c r="E24" i="7"/>
  <c r="I44" i="4"/>
  <c r="E22" i="7"/>
  <c r="H22" i="7" s="1"/>
  <c r="J20" i="7"/>
  <c r="J44" i="4"/>
  <c r="N36" i="7"/>
  <c r="E23" i="7"/>
  <c r="F22" i="7" l="1"/>
  <c r="I53" i="8"/>
  <c r="I54" i="8" s="1"/>
  <c r="L53" i="5"/>
  <c r="L58" i="5" s="1"/>
  <c r="L61" i="5" s="1"/>
  <c r="G53" i="5"/>
  <c r="G58" i="5" s="1"/>
  <c r="G61" i="5" s="1"/>
  <c r="M53" i="5"/>
  <c r="M58" i="5" s="1"/>
  <c r="M61" i="5" s="1"/>
  <c r="J53" i="5"/>
  <c r="J58" i="5" s="1"/>
  <c r="J61" i="5" s="1"/>
  <c r="K53" i="5"/>
  <c r="K58" i="5" s="1"/>
  <c r="K61" i="5" s="1"/>
  <c r="I53" i="5"/>
  <c r="I58" i="5" s="1"/>
  <c r="I61" i="5" s="1"/>
  <c r="F53" i="5"/>
  <c r="F58" i="5" s="1"/>
  <c r="F61" i="5" s="1"/>
  <c r="N53" i="5"/>
  <c r="N58" i="5" s="1"/>
  <c r="N61" i="5" s="1"/>
  <c r="E53" i="5"/>
  <c r="H53" i="5"/>
  <c r="H58" i="5" s="1"/>
  <c r="H61" i="5" s="1"/>
  <c r="P53" i="5"/>
  <c r="P58" i="5" s="1"/>
  <c r="P61" i="5" s="1"/>
  <c r="O53" i="5"/>
  <c r="O58" i="5" s="1"/>
  <c r="O61" i="5" s="1"/>
  <c r="D35" i="7"/>
  <c r="D40" i="7" s="1"/>
  <c r="B35" i="7"/>
  <c r="E35" i="7"/>
  <c r="C35" i="7"/>
  <c r="C40" i="7" s="1"/>
  <c r="F23" i="7"/>
  <c r="H23" i="7"/>
  <c r="H25" i="7" s="1"/>
  <c r="F24" i="7"/>
  <c r="H24" i="7"/>
  <c r="F25" i="7" l="1"/>
  <c r="D30" i="7" s="1"/>
  <c r="D31" i="7" s="1"/>
  <c r="B40" i="7"/>
  <c r="E58" i="5"/>
  <c r="E61" i="5" s="1"/>
  <c r="Q61" i="5" s="1"/>
  <c r="Q53" i="5"/>
  <c r="F35" i="7"/>
  <c r="E40" i="7"/>
  <c r="E30" i="7" l="1"/>
  <c r="F40" i="7"/>
  <c r="G35" i="7"/>
  <c r="F75" i="5"/>
  <c r="F76" i="5" s="1"/>
  <c r="Q58" i="5"/>
  <c r="R53" i="5"/>
  <c r="E31" i="7"/>
  <c r="F30" i="7"/>
  <c r="Q62" i="5"/>
  <c r="E39" i="2" s="1"/>
  <c r="F67" i="5"/>
  <c r="E73" i="2"/>
  <c r="F60" i="4"/>
  <c r="F15" i="4" l="1"/>
  <c r="F105" i="4"/>
  <c r="F62" i="4"/>
  <c r="F31" i="7"/>
  <c r="G30" i="7"/>
  <c r="F73" i="2"/>
  <c r="G60" i="4"/>
  <c r="G40" i="7"/>
  <c r="H35" i="7"/>
  <c r="E74" i="2"/>
  <c r="E78" i="2" s="1"/>
  <c r="F120" i="4"/>
  <c r="E58" i="2"/>
  <c r="E59" i="2" s="1"/>
  <c r="D60" i="2" s="1"/>
  <c r="G75" i="5"/>
  <c r="G76" i="5" s="1"/>
  <c r="S53" i="5"/>
  <c r="R58" i="5"/>
  <c r="R61" i="5" s="1"/>
  <c r="G67" i="5" s="1"/>
  <c r="E80" i="2" l="1"/>
  <c r="E82" i="2" s="1"/>
  <c r="E88" i="2" s="1"/>
  <c r="E106" i="2" s="1"/>
  <c r="G105" i="4"/>
  <c r="G62" i="4"/>
  <c r="G66" i="4" s="1"/>
  <c r="H60" i="4"/>
  <c r="G73" i="2"/>
  <c r="F117" i="4"/>
  <c r="F66" i="4"/>
  <c r="T53" i="5"/>
  <c r="H75" i="5"/>
  <c r="H76" i="5" s="1"/>
  <c r="S58" i="5"/>
  <c r="S61" i="5" s="1"/>
  <c r="H67" i="5" s="1"/>
  <c r="D96" i="2"/>
  <c r="H40" i="7"/>
  <c r="I35" i="7"/>
  <c r="F74" i="2"/>
  <c r="F78" i="2" s="1"/>
  <c r="F58" i="2"/>
  <c r="F59" i="2" s="1"/>
  <c r="E60" i="2" s="1"/>
  <c r="E96" i="2" s="1"/>
  <c r="G31" i="7"/>
  <c r="H30" i="7"/>
  <c r="H31" i="7" s="1"/>
  <c r="F140" i="4"/>
  <c r="F102" i="4"/>
  <c r="G15" i="4"/>
  <c r="F19" i="4"/>
  <c r="F80" i="2" l="1"/>
  <c r="F82" i="2" s="1"/>
  <c r="F88" i="2" s="1"/>
  <c r="F106" i="2" s="1"/>
  <c r="G74" i="2"/>
  <c r="G78" i="2" s="1"/>
  <c r="G58" i="2"/>
  <c r="G59" i="2" s="1"/>
  <c r="F60" i="2" s="1"/>
  <c r="G99" i="4"/>
  <c r="G101" i="4" s="1"/>
  <c r="G154" i="4"/>
  <c r="G72" i="4"/>
  <c r="F93" i="4"/>
  <c r="F28" i="4"/>
  <c r="F126" i="4"/>
  <c r="F125" i="4"/>
  <c r="F127" i="4"/>
  <c r="G102" i="4"/>
  <c r="H15" i="4"/>
  <c r="G19" i="4"/>
  <c r="I60" i="4"/>
  <c r="H73" i="2"/>
  <c r="F104" i="4"/>
  <c r="F160" i="4"/>
  <c r="E116" i="2"/>
  <c r="E100" i="2"/>
  <c r="E108" i="2" s="1"/>
  <c r="E110" i="2" s="1"/>
  <c r="I40" i="7"/>
  <c r="J35" i="7"/>
  <c r="D116" i="2"/>
  <c r="D100" i="2"/>
  <c r="U53" i="5"/>
  <c r="T58" i="5"/>
  <c r="T61" i="5" s="1"/>
  <c r="I67" i="5" s="1"/>
  <c r="I75" i="5"/>
  <c r="I76" i="5" s="1"/>
  <c r="I73" i="2"/>
  <c r="J60" i="4"/>
  <c r="F118" i="4"/>
  <c r="F154" i="4"/>
  <c r="F99" i="4"/>
  <c r="F101" i="4" s="1"/>
  <c r="F106" i="4" s="1"/>
  <c r="F72" i="4"/>
  <c r="H105" i="4"/>
  <c r="H62" i="4"/>
  <c r="H66" i="4" s="1"/>
  <c r="G80" i="2" l="1"/>
  <c r="G82" i="2" s="1"/>
  <c r="G88" i="2" s="1"/>
  <c r="G106" i="2" s="1"/>
  <c r="H74" i="2"/>
  <c r="H58" i="2"/>
  <c r="H59" i="2" s="1"/>
  <c r="G60" i="2" s="1"/>
  <c r="G96" i="2" s="1"/>
  <c r="I15" i="4"/>
  <c r="H102" i="4"/>
  <c r="H19" i="4"/>
  <c r="H72" i="4"/>
  <c r="H154" i="4"/>
  <c r="H99" i="4"/>
  <c r="H101" i="4" s="1"/>
  <c r="J75" i="5"/>
  <c r="J76" i="5" s="1"/>
  <c r="U58" i="5"/>
  <c r="U61" i="5" s="1"/>
  <c r="J67" i="5" s="1"/>
  <c r="J40" i="7"/>
  <c r="K35" i="7"/>
  <c r="H78" i="2"/>
  <c r="G160" i="4"/>
  <c r="G104" i="4"/>
  <c r="G103" i="4"/>
  <c r="F132" i="4"/>
  <c r="F139" i="4"/>
  <c r="G106" i="4"/>
  <c r="E142" i="2"/>
  <c r="E126" i="2"/>
  <c r="F73" i="4"/>
  <c r="F74" i="4" s="1"/>
  <c r="J105" i="4"/>
  <c r="J62" i="4"/>
  <c r="J66" i="4" s="1"/>
  <c r="D108" i="2"/>
  <c r="D110" i="2" s="1"/>
  <c r="B65" i="2"/>
  <c r="I105" i="4"/>
  <c r="I62" i="4"/>
  <c r="I66" i="4" s="1"/>
  <c r="G93" i="4"/>
  <c r="G28" i="4"/>
  <c r="G73" i="4"/>
  <c r="G74" i="4" s="1"/>
  <c r="F96" i="2"/>
  <c r="E152" i="2" l="1"/>
  <c r="B166" i="2"/>
  <c r="H73" i="4"/>
  <c r="H74" i="4"/>
  <c r="G116" i="2"/>
  <c r="G100" i="2"/>
  <c r="G108" i="2" s="1"/>
  <c r="L35" i="7"/>
  <c r="K40" i="7"/>
  <c r="H93" i="4"/>
  <c r="H28" i="4"/>
  <c r="F116" i="2"/>
  <c r="F100" i="2"/>
  <c r="F108" i="2" s="1"/>
  <c r="F110" i="2" s="1"/>
  <c r="G91" i="4"/>
  <c r="G98" i="4"/>
  <c r="G100" i="4" s="1"/>
  <c r="G49" i="4"/>
  <c r="G48" i="4" s="1"/>
  <c r="G51" i="4" s="1"/>
  <c r="G53" i="4" s="1"/>
  <c r="D126" i="2"/>
  <c r="B165" i="2" s="1"/>
  <c r="D142" i="2"/>
  <c r="G155" i="4"/>
  <c r="G156" i="4" s="1"/>
  <c r="G159" i="4" s="1"/>
  <c r="G162" i="4" s="1"/>
  <c r="G92" i="4"/>
  <c r="G94" i="4" s="1"/>
  <c r="I99" i="4"/>
  <c r="I101" i="4" s="1"/>
  <c r="I154" i="4"/>
  <c r="I72" i="4"/>
  <c r="F155" i="4"/>
  <c r="F156" i="4" s="1"/>
  <c r="F159" i="4" s="1"/>
  <c r="F162" i="4" s="1"/>
  <c r="F92" i="4"/>
  <c r="F94" i="4" s="1"/>
  <c r="H160" i="4"/>
  <c r="H103" i="4"/>
  <c r="H104" i="4"/>
  <c r="H106" i="4" s="1"/>
  <c r="G110" i="2"/>
  <c r="B67" i="2"/>
  <c r="C66" i="2" s="1"/>
  <c r="E66" i="2" s="1"/>
  <c r="H80" i="2"/>
  <c r="H82" i="2" s="1"/>
  <c r="H88" i="2" s="1"/>
  <c r="H106" i="2" s="1"/>
  <c r="F98" i="4"/>
  <c r="F100" i="4" s="1"/>
  <c r="F75" i="4"/>
  <c r="G75" i="4" s="1"/>
  <c r="F119" i="4"/>
  <c r="F91" i="4"/>
  <c r="F49" i="4"/>
  <c r="F48" i="4" s="1"/>
  <c r="F51" i="4" s="1"/>
  <c r="G55" i="4"/>
  <c r="J99" i="4"/>
  <c r="J101" i="4" s="1"/>
  <c r="J72" i="4"/>
  <c r="J154" i="4"/>
  <c r="I74" i="2"/>
  <c r="I78" i="2" s="1"/>
  <c r="I58" i="2"/>
  <c r="I59" i="2" s="1"/>
  <c r="H60" i="2" s="1"/>
  <c r="I102" i="4"/>
  <c r="J15" i="4"/>
  <c r="I19" i="4"/>
  <c r="I93" i="4" l="1"/>
  <c r="I28" i="4"/>
  <c r="G142" i="2"/>
  <c r="G126" i="2"/>
  <c r="F95" i="4"/>
  <c r="H96" i="2"/>
  <c r="B134" i="2"/>
  <c r="C134" i="2"/>
  <c r="G134" i="2"/>
  <c r="G138" i="2" s="1"/>
  <c r="I80" i="2"/>
  <c r="I82" i="2" s="1"/>
  <c r="I88" i="2" s="1"/>
  <c r="I106" i="2" s="1"/>
  <c r="I110" i="2" s="1"/>
  <c r="I160" i="4"/>
  <c r="I103" i="4"/>
  <c r="I104" i="4"/>
  <c r="D152" i="2"/>
  <c r="L40" i="7"/>
  <c r="M35" i="7"/>
  <c r="H91" i="4"/>
  <c r="H49" i="4"/>
  <c r="H98" i="4"/>
  <c r="H100" i="4" s="1"/>
  <c r="H75" i="4"/>
  <c r="J102" i="4"/>
  <c r="J19" i="4"/>
  <c r="I106" i="4"/>
  <c r="J73" i="4"/>
  <c r="F53" i="4"/>
  <c r="F55" i="4" s="1"/>
  <c r="F138" i="4"/>
  <c r="C65" i="2"/>
  <c r="E65" i="2" s="1"/>
  <c r="E67" i="2" s="1"/>
  <c r="D154" i="2" s="1"/>
  <c r="I73" i="4"/>
  <c r="G95" i="4"/>
  <c r="F142" i="2"/>
  <c r="F126" i="2"/>
  <c r="H155" i="4"/>
  <c r="H156" i="4" s="1"/>
  <c r="H159" i="4" s="1"/>
  <c r="H162" i="4" s="1"/>
  <c r="H92" i="4"/>
  <c r="H94" i="4" s="1"/>
  <c r="H95" i="4" s="1"/>
  <c r="G152" i="2" l="1"/>
  <c r="B168" i="2"/>
  <c r="F152" i="2"/>
  <c r="B167" i="2"/>
  <c r="J93" i="4"/>
  <c r="J28" i="4"/>
  <c r="I50" i="4"/>
  <c r="H48" i="4"/>
  <c r="H51" i="4" s="1"/>
  <c r="H53" i="4" s="1"/>
  <c r="H55" i="4" s="1"/>
  <c r="H116" i="2"/>
  <c r="H100" i="2"/>
  <c r="H108" i="2" s="1"/>
  <c r="H110" i="2" s="1"/>
  <c r="J155" i="4"/>
  <c r="J156" i="4" s="1"/>
  <c r="J159" i="4" s="1"/>
  <c r="J92" i="4"/>
  <c r="I142" i="2"/>
  <c r="I126" i="2"/>
  <c r="B170" i="2" s="1"/>
  <c r="C132" i="2"/>
  <c r="C138" i="2" s="1"/>
  <c r="I155" i="4"/>
  <c r="I156" i="4" s="1"/>
  <c r="I159" i="4" s="1"/>
  <c r="I162" i="4" s="1"/>
  <c r="I92" i="4"/>
  <c r="I94" i="4" s="1"/>
  <c r="M40" i="7"/>
  <c r="N35" i="7"/>
  <c r="N40" i="7" s="1"/>
  <c r="J103" i="4"/>
  <c r="J104" i="4"/>
  <c r="J106" i="4" s="1"/>
  <c r="J160" i="4"/>
  <c r="I74" i="4"/>
  <c r="J74" i="4"/>
  <c r="J94" i="4" l="1"/>
  <c r="H142" i="2"/>
  <c r="H126" i="2"/>
  <c r="B169" i="2" s="1"/>
  <c r="J162" i="4"/>
  <c r="I75" i="4"/>
  <c r="J75" i="4" s="1"/>
  <c r="I49" i="4"/>
  <c r="I91" i="4"/>
  <c r="I95" i="4" s="1"/>
  <c r="I98" i="4"/>
  <c r="I100" i="4" s="1"/>
  <c r="J98" i="4"/>
  <c r="J100" i="4" s="1"/>
  <c r="J49" i="4"/>
  <c r="J48" i="4" s="1"/>
  <c r="J91" i="4"/>
  <c r="J95" i="4" s="1"/>
  <c r="B132" i="2"/>
  <c r="B138" i="2" s="1"/>
  <c r="I152" i="2"/>
  <c r="J50" i="4" l="1"/>
  <c r="J51" i="4" s="1"/>
  <c r="J53" i="4" s="1"/>
  <c r="J55" i="4" s="1"/>
  <c r="I48" i="4"/>
  <c r="I51" i="4" s="1"/>
  <c r="I53" i="4" s="1"/>
  <c r="I55" i="4" s="1"/>
  <c r="H152" i="2"/>
  <c r="I127" i="2"/>
  <c r="D148" i="2"/>
  <c r="D145" i="2"/>
  <c r="D147" i="2" l="1"/>
  <c r="D146" i="2"/>
  <c r="D158" i="2"/>
  <c r="D156" i="2" l="1"/>
  <c r="D157" i="2"/>
</calcChain>
</file>

<file path=xl/sharedStrings.xml><?xml version="1.0" encoding="utf-8"?>
<sst xmlns="http://schemas.openxmlformats.org/spreadsheetml/2006/main" count="728" uniqueCount="471">
  <si>
    <t>EQUIPO DE COMPUTO</t>
  </si>
  <si>
    <t>Referencia</t>
  </si>
  <si>
    <t>Cantidad</t>
  </si>
  <si>
    <t>Valor Unitario</t>
  </si>
  <si>
    <t>Valor Total</t>
  </si>
  <si>
    <t>Lenovo Thinkpad E15 2DA Gen</t>
  </si>
  <si>
    <t>Tipo</t>
  </si>
  <si>
    <t>Computador</t>
  </si>
  <si>
    <t>Impresora</t>
  </si>
  <si>
    <t>Multifuncional HP1200w Neverstop</t>
  </si>
  <si>
    <t>REQUERIMIENTOS INICIALES EN TECNOLOGÍA Y ACTIVOS</t>
  </si>
  <si>
    <t>MUEBLES Y ENSERES</t>
  </si>
  <si>
    <t>Silla</t>
  </si>
  <si>
    <t>Escritorio</t>
  </si>
  <si>
    <t>Archivo</t>
  </si>
  <si>
    <t>Silla Profesional Basica</t>
  </si>
  <si>
    <t>Metalico Operativo</t>
  </si>
  <si>
    <t>Metalico 4 gavetas</t>
  </si>
  <si>
    <t>TOTAL MUEBLES Y ENSERES</t>
  </si>
  <si>
    <t>DESARROLLO TECNOLÓGICO APP</t>
  </si>
  <si>
    <t>Programación y estructuración</t>
  </si>
  <si>
    <t>TOTAL ACTIVO INTANGIBLE</t>
  </si>
  <si>
    <t>ACTIVOS</t>
  </si>
  <si>
    <t>Entidad</t>
  </si>
  <si>
    <t>Valor</t>
  </si>
  <si>
    <t>Bancolombia</t>
  </si>
  <si>
    <t>Cuotas</t>
  </si>
  <si>
    <t>Tasa</t>
  </si>
  <si>
    <t>DEUDA</t>
  </si>
  <si>
    <t>REQUERIMIENTOS EN DEUDA Y CAPITAL</t>
  </si>
  <si>
    <t>DEPRECIACION DE ACTIVOS</t>
  </si>
  <si>
    <t>Vida Util</t>
  </si>
  <si>
    <t>% Salvamento</t>
  </si>
  <si>
    <t>Bancos</t>
  </si>
  <si>
    <t>Depreciacion Equipo de computo</t>
  </si>
  <si>
    <t>AÑO 0</t>
  </si>
  <si>
    <t>AÑO 1</t>
  </si>
  <si>
    <t>AÑO 2</t>
  </si>
  <si>
    <t>AÑO 3</t>
  </si>
  <si>
    <t>AÑO 4</t>
  </si>
  <si>
    <t>AÑO 5</t>
  </si>
  <si>
    <t>Depreciacion Muebles</t>
  </si>
  <si>
    <t>Valor Depreciable</t>
  </si>
  <si>
    <t>SALDO</t>
  </si>
  <si>
    <t>INTERESES</t>
  </si>
  <si>
    <t>CUOTA</t>
  </si>
  <si>
    <t>AMORTIZACION</t>
  </si>
  <si>
    <t>CAPITAL</t>
  </si>
  <si>
    <t>ESTADO DE SITUACION FINANCIERA DE APERTURA</t>
  </si>
  <si>
    <t>PASIVOS</t>
  </si>
  <si>
    <t>PATRIMONIO</t>
  </si>
  <si>
    <t>Obligaciones Financieras</t>
  </si>
  <si>
    <t>Aportes Sociales</t>
  </si>
  <si>
    <t>Corriente</t>
  </si>
  <si>
    <t>Total Activo Corriente</t>
  </si>
  <si>
    <t>No Corrientes</t>
  </si>
  <si>
    <t>Propiedad Planta y Equipo</t>
  </si>
  <si>
    <t>Caja</t>
  </si>
  <si>
    <t>Total Activo No Corriente</t>
  </si>
  <si>
    <t>TOTAL ACTIVOS</t>
  </si>
  <si>
    <t>Intangibles</t>
  </si>
  <si>
    <t>Total Pasivo</t>
  </si>
  <si>
    <t>Total Patrimonio</t>
  </si>
  <si>
    <t>TOTAL PASIVO + PATRIMONIO</t>
  </si>
  <si>
    <t>ESTADOS FINANCIEROS PROYECTADOS</t>
  </si>
  <si>
    <t>ANÁLISIS FINANCIERO</t>
  </si>
  <si>
    <t xml:space="preserve"> Pesos Colombianos</t>
  </si>
  <si>
    <t>a 31 de Diciembre</t>
  </si>
  <si>
    <t>TASAS DE DEUDA PROYECCIÓN PROMEDIO MOVIL (N5)</t>
  </si>
  <si>
    <t>TASAS DE DEUDA</t>
  </si>
  <si>
    <t>TASA Kd E.A.</t>
  </si>
  <si>
    <t>CIFRAS FUNDAMENTALES DE PROYECCIÓN</t>
  </si>
  <si>
    <t xml:space="preserve">CIFRAS DE PROYECCIÓN </t>
  </si>
  <si>
    <t xml:space="preserve">PLANES, POLITICAS Y EXPECTATIVAS </t>
  </si>
  <si>
    <t>CIFRAS PROYECTADAS</t>
  </si>
  <si>
    <t>VARIABLES</t>
  </si>
  <si>
    <t>Variables</t>
  </si>
  <si>
    <t>Inflación en Colombia</t>
  </si>
  <si>
    <t>PIB</t>
  </si>
  <si>
    <t>Tasa de Crecimiento Modelo Economía</t>
  </si>
  <si>
    <t>Tasa de Crecimiento</t>
  </si>
  <si>
    <t>Elegir Escenario de tasa</t>
  </si>
  <si>
    <t>Crecimiento Proyectado</t>
  </si>
  <si>
    <t>PROYECCIÓN DE ESTADOS FINANCIERO</t>
  </si>
  <si>
    <t>ACTIVO</t>
  </si>
  <si>
    <t>Activo Corriente</t>
  </si>
  <si>
    <t>Efectivo y equivalentes de efectivo</t>
  </si>
  <si>
    <t>Deudores comerciales y otros</t>
  </si>
  <si>
    <t>Impuestos Corrientes</t>
  </si>
  <si>
    <t>Inventarios</t>
  </si>
  <si>
    <t>Otros Activos no financieros</t>
  </si>
  <si>
    <t>TOTAL ACTIVO CORRIENTE</t>
  </si>
  <si>
    <t>Activo No Corriente</t>
  </si>
  <si>
    <t>Inversiones</t>
  </si>
  <si>
    <t>Activos financieros</t>
  </si>
  <si>
    <t>Propiedades, planta y equipo</t>
  </si>
  <si>
    <t>Activos intangibles</t>
  </si>
  <si>
    <t>Activos por impuestos diferidos</t>
  </si>
  <si>
    <t>TOTAL ACTIVO NO CORRIENTE</t>
  </si>
  <si>
    <t>0 TOTAL ACTIVO</t>
  </si>
  <si>
    <t>Pasivo Corriente</t>
  </si>
  <si>
    <t>Obligaciones financieras</t>
  </si>
  <si>
    <t>Proveedores</t>
  </si>
  <si>
    <t>Impuestos corrientes por pagar</t>
  </si>
  <si>
    <t>Obligaciones Laborales</t>
  </si>
  <si>
    <t>Cuentas por pagar Varios</t>
  </si>
  <si>
    <t>Otros pasivos</t>
  </si>
  <si>
    <t>0 TOTAL PASIVO CORRIENTE</t>
  </si>
  <si>
    <t>Pasivo No Corriente</t>
  </si>
  <si>
    <t>Pasivo por impuesto diferido</t>
  </si>
  <si>
    <t>Provisiones</t>
  </si>
  <si>
    <t>0 TOTAL PASIVO NO CORRIENTE</t>
  </si>
  <si>
    <t>0 TOTAL PASIVO</t>
  </si>
  <si>
    <t>Patrimonio</t>
  </si>
  <si>
    <t>Capital social</t>
  </si>
  <si>
    <t>Reservas</t>
  </si>
  <si>
    <t>Resultados del Ejercicio</t>
  </si>
  <si>
    <t>Resultados de ejercicios anteriores</t>
  </si>
  <si>
    <t>0 TOTAL PATRIMONIO</t>
  </si>
  <si>
    <t>0 TOTAL PASIVO Y PATRIMONIO</t>
  </si>
  <si>
    <t>CONTROL (Pasivo y Patrimonio - Activo)</t>
  </si>
  <si>
    <t xml:space="preserve">CUENTAS DE RESULTADO </t>
  </si>
  <si>
    <t>Operacional</t>
  </si>
  <si>
    <t>Ventas, Ingresos de actividades ordinarias</t>
  </si>
  <si>
    <t>Costo de Ventas</t>
  </si>
  <si>
    <t>UTILIDAD BRUTA</t>
  </si>
  <si>
    <t>Gastos de administración</t>
  </si>
  <si>
    <t>Gastos de ventas y distribución</t>
  </si>
  <si>
    <t>UTILIDAD OPERACIONAL</t>
  </si>
  <si>
    <t>No Operacional</t>
  </si>
  <si>
    <t>Otros ingresos</t>
  </si>
  <si>
    <t>Gasto no operacional</t>
  </si>
  <si>
    <t>Gasto Financiero</t>
  </si>
  <si>
    <t>Resultados Netos</t>
  </si>
  <si>
    <t>UTILIDAD ANTES DE IMPUESTOS</t>
  </si>
  <si>
    <t>Gasto por impuesto</t>
  </si>
  <si>
    <t>UTILIDAD NETA</t>
  </si>
  <si>
    <t>Detalles de Depreciación y Amortización</t>
  </si>
  <si>
    <t>Depreciaciones</t>
  </si>
  <si>
    <t>Amortizaciones</t>
  </si>
  <si>
    <t>INDUCTORES DE VALOR Y RAZONES FINANCIERAS</t>
  </si>
  <si>
    <t>PROYECCIÓN DE INDUCTORES DE VALOR</t>
  </si>
  <si>
    <t>Inductores de Rentabilidad</t>
  </si>
  <si>
    <t>ROA</t>
  </si>
  <si>
    <t>UODI</t>
  </si>
  <si>
    <t>Activos Netos de Operación</t>
  </si>
  <si>
    <t>RAN</t>
  </si>
  <si>
    <t>Distancia Rentabilidad</t>
  </si>
  <si>
    <t>Inductores de Operativos y Financieros</t>
  </si>
  <si>
    <t>EBITDA Modelo General</t>
  </si>
  <si>
    <t>EBITDA Operacional</t>
  </si>
  <si>
    <t>Margen EBITDA Modelo General</t>
  </si>
  <si>
    <t>Margen EBITDA Operacional</t>
  </si>
  <si>
    <t>KTNO</t>
  </si>
  <si>
    <t>Variación de KTNO</t>
  </si>
  <si>
    <t>Productividad del Capital de trabajo PKT</t>
  </si>
  <si>
    <t>Productividad del Activo Fijo PAF</t>
  </si>
  <si>
    <t>Palanca de Crecimiento PDC</t>
  </si>
  <si>
    <t>RAZONES FINANCIERAS</t>
  </si>
  <si>
    <t>ANALISIS DE RAZONES FINANCIERAS</t>
  </si>
  <si>
    <t>R/I</t>
  </si>
  <si>
    <t>Rentabilidad</t>
  </si>
  <si>
    <t>Rentabilidad Bruta</t>
  </si>
  <si>
    <t>Rentabilidad Operacional</t>
  </si>
  <si>
    <t>Liquidez</t>
  </si>
  <si>
    <t>Capital de Trabajo</t>
  </si>
  <si>
    <t>Activo Corriente - Pasivo Corriente</t>
  </si>
  <si>
    <t>Razon Corriente</t>
  </si>
  <si>
    <t>Activo Corriente / Pasivo Corriente</t>
  </si>
  <si>
    <t>Prueba Acida</t>
  </si>
  <si>
    <t>(Activo Corriente - Inventarios) / Pasivo Corriente</t>
  </si>
  <si>
    <t>Endeudamiento</t>
  </si>
  <si>
    <t>Nivel de Endeudamiento</t>
  </si>
  <si>
    <t>Total Pasivo / Total Activo</t>
  </si>
  <si>
    <t>Concentracion de Endeudamiento a Corto Plazo</t>
  </si>
  <si>
    <t>Pasivo Corriente / Pasivo Total</t>
  </si>
  <si>
    <t>Concentracion de Endeudamiento a Largo Plazo</t>
  </si>
  <si>
    <t>Pasivo No Corriente / Pasivo Total</t>
  </si>
  <si>
    <t>RAZONES DE ACTIVIDAD</t>
  </si>
  <si>
    <t>Actividad</t>
  </si>
  <si>
    <t>Rotacion del Patrimonio</t>
  </si>
  <si>
    <t>Ventas / Patrimonio</t>
  </si>
  <si>
    <t>Rotacion del Activo</t>
  </si>
  <si>
    <t>Ventas / Activo Total</t>
  </si>
  <si>
    <t>Periodo de Cobro</t>
  </si>
  <si>
    <t>(Cuentas Por Cobrar Clientes / Ventas ) * 365</t>
  </si>
  <si>
    <t>Rotacion de Inventarios</t>
  </si>
  <si>
    <t>(Inventarios / Costo de Ventas) * 365</t>
  </si>
  <si>
    <t>cuanto del inventario tengo pertenece al costo de ventas, este analisis lo tengo que hacer por linea de producto</t>
  </si>
  <si>
    <t>Ciclo Operacional</t>
  </si>
  <si>
    <t>Periodo de Cobro +  Rotacion de Inventarios</t>
  </si>
  <si>
    <t>Periodo de Pago a Proveedores</t>
  </si>
  <si>
    <t>(Cuentas por pagar Proveedores / Costo de Ventas) * 365</t>
  </si>
  <si>
    <t>PROYECCION FLUJO DE CAJA</t>
  </si>
  <si>
    <t>Utilidad Operativa</t>
  </si>
  <si>
    <t>(-) Impuestos</t>
  </si>
  <si>
    <t>(+) Depreciaciones</t>
  </si>
  <si>
    <t>(+) Amortizaciones</t>
  </si>
  <si>
    <t>FLUJO DE CAJA BRUTO</t>
  </si>
  <si>
    <t>(-) Varicion KTNO</t>
  </si>
  <si>
    <t>(-) Varicion Activos Fijos</t>
  </si>
  <si>
    <t>FLUJO DE CAJA LIBRE</t>
  </si>
  <si>
    <t>MANDA CARGA S.A.S</t>
  </si>
  <si>
    <t>PESIMISTA</t>
  </si>
  <si>
    <t>REALISTA</t>
  </si>
  <si>
    <t>OPTIMISTA</t>
  </si>
  <si>
    <t>Año 0</t>
  </si>
  <si>
    <t>Año 1</t>
  </si>
  <si>
    <t xml:space="preserve">Año 2 </t>
  </si>
  <si>
    <t>Año 3</t>
  </si>
  <si>
    <t>Año 4</t>
  </si>
  <si>
    <t>Año 5</t>
  </si>
  <si>
    <t>PROYECCION DE INGRESOS</t>
  </si>
  <si>
    <t>Descargas de Aplicación</t>
  </si>
  <si>
    <t>Publicidad</t>
  </si>
  <si>
    <t>16-34 Ton</t>
  </si>
  <si>
    <t>Valor Admon / Km</t>
  </si>
  <si>
    <t>Amortizacion Intangibles</t>
  </si>
  <si>
    <t>Depreciacion/Amortizacion</t>
  </si>
  <si>
    <t>CIFRAS PROYECTADAS PESIMISTA</t>
  </si>
  <si>
    <t>CIFRAS PROYECTADAS REALISTA</t>
  </si>
  <si>
    <t>Impuesto de Renta</t>
  </si>
  <si>
    <t>Vacaciones</t>
  </si>
  <si>
    <t>Ingeniero de Desarrollo</t>
  </si>
  <si>
    <t>Asistente de Desarrollo</t>
  </si>
  <si>
    <t>Comercial de Campo</t>
  </si>
  <si>
    <t>Comercial de Redes y Web</t>
  </si>
  <si>
    <t>Contador</t>
  </si>
  <si>
    <t>Auxilio de Transporte</t>
  </si>
  <si>
    <t>Salario Minimo 2022</t>
  </si>
  <si>
    <t>Auxilio de Transporte 2022</t>
  </si>
  <si>
    <t>CARGA PRESTACIONAL</t>
  </si>
  <si>
    <t>Cesantias</t>
  </si>
  <si>
    <t>Intereses a las Cesantias</t>
  </si>
  <si>
    <t>Prima</t>
  </si>
  <si>
    <t>Aporte a Pension</t>
  </si>
  <si>
    <t>Cajas de Compensacion</t>
  </si>
  <si>
    <t>Riesgos Laborales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</si>
  <si>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</si>
  <si>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</si>
  <si>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</si>
  <si>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</si>
  <si>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</si>
  <si>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</si>
  <si>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</si>
  <si>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</si>
  <si>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</si>
  <si>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</si>
  <si>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</si>
  <si>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</si>
  <si>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AÑO 1</t>
  </si>
  <si>
    <t>Prestaciones</t>
  </si>
  <si>
    <t>Seguridad Social</t>
  </si>
  <si>
    <t>SEGURIDAD SOCIAL</t>
  </si>
  <si>
    <t xml:space="preserve">Internet </t>
  </si>
  <si>
    <t>Telefonía Celular</t>
  </si>
  <si>
    <t>Insumos Papeleria</t>
  </si>
  <si>
    <t xml:space="preserve">Publicidad </t>
  </si>
  <si>
    <t>Mantenimiento Infraestructura Tecnológica</t>
  </si>
  <si>
    <t>FIJOS</t>
  </si>
  <si>
    <t>COSTOS FIJOS Y VARIABLES</t>
  </si>
  <si>
    <t>Comision por Ventas</t>
  </si>
  <si>
    <t>Ofertas y/o lanzamientos</t>
  </si>
  <si>
    <t>Viaticos</t>
  </si>
  <si>
    <t>Tiquetes</t>
  </si>
  <si>
    <t>Pólizas de Seguro</t>
  </si>
  <si>
    <t>Costos</t>
  </si>
  <si>
    <t>Gastos de Ventas</t>
  </si>
  <si>
    <t>Gastos Administrativos</t>
  </si>
  <si>
    <t>Acueducto</t>
  </si>
  <si>
    <t>COSTOS TOTALES</t>
  </si>
  <si>
    <t>Etiquetas de fila</t>
  </si>
  <si>
    <t>Total general</t>
  </si>
  <si>
    <t>Suma de TOTAL AÑO 1</t>
  </si>
  <si>
    <t>Costo Total</t>
  </si>
  <si>
    <t>Necesidad de KW</t>
  </si>
  <si>
    <t>Inversion KW</t>
  </si>
  <si>
    <t>DATOS DE ENTRADA</t>
  </si>
  <si>
    <t>PARTE SALARIAL</t>
  </si>
  <si>
    <t>Inversion inicial creación de APP</t>
  </si>
  <si>
    <t>TOTAL DEPRECIACION / AMORTIZACION</t>
  </si>
  <si>
    <t>Amortizacion</t>
  </si>
  <si>
    <t>ESCENARIOS</t>
  </si>
  <si>
    <t>Tipo de Camion</t>
  </si>
  <si>
    <t>0-8 Ton</t>
  </si>
  <si>
    <t>9-16 Ton</t>
  </si>
  <si>
    <t>file:///C:/Users/asisfinanciero/Downloads/Operacion_transporte.pdf</t>
  </si>
  <si>
    <t>OPERACIÓN DEL TRANSPORTE DE CARGA POR ...</t>
  </si>
  <si>
    <t>Recorrido Promedio Viaje</t>
  </si>
  <si>
    <t>Kilometros recorridos / Año por camion</t>
  </si>
  <si>
    <t>No. Camiones</t>
  </si>
  <si>
    <t>Descargas</t>
  </si>
  <si>
    <t>Promedio de viajes / Mes</t>
  </si>
  <si>
    <t>Descargas de Aplicación / Mes</t>
  </si>
  <si>
    <t>% Participacion</t>
  </si>
  <si>
    <t>Ingresos por Categoria Año 1</t>
  </si>
  <si>
    <t>Ingresos por Categoria / Mes</t>
  </si>
  <si>
    <t>Tipo de Ingreso</t>
  </si>
  <si>
    <t>Administracion y control de carga por viaje contratado</t>
  </si>
  <si>
    <t>Valor por Descarga</t>
  </si>
  <si>
    <t>No. Descargas / Año</t>
  </si>
  <si>
    <t>Contratos / Año</t>
  </si>
  <si>
    <t>Valor por Contrato Publicitario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</si>
  <si>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</si>
  <si>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</si>
  <si>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</si>
  <si>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</si>
  <si>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</si>
  <si>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</si>
  <si>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</si>
  <si>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</si>
  <si>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</si>
  <si>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Precio Ponderado</t>
  </si>
  <si>
    <t>COMISION POR VENTAS</t>
  </si>
  <si>
    <t>Administracion y Control de carga</t>
  </si>
  <si>
    <t>VIATICOS</t>
  </si>
  <si>
    <t>TIQUETES</t>
  </si>
  <si>
    <t>POLIZAS</t>
  </si>
  <si>
    <t>Cantidades Km a Enlazar</t>
  </si>
  <si>
    <t>Costos variable por Item / Año</t>
  </si>
  <si>
    <t>Costos variable por Item / Mes</t>
  </si>
  <si>
    <t>OFERTAS Y LANZAMIENTOS</t>
  </si>
  <si>
    <t>Total Año 1</t>
  </si>
  <si>
    <t>Marzo</t>
  </si>
  <si>
    <t>Enero</t>
  </si>
  <si>
    <t>Febrero</t>
  </si>
  <si>
    <t>CARGO</t>
  </si>
  <si>
    <t>Salario</t>
  </si>
  <si>
    <t>Auxiliar Admtivo y Contable</t>
  </si>
  <si>
    <t>COSTO FIJO DE NOMINA</t>
  </si>
  <si>
    <t>GASTO FIJO DE NOMINA</t>
  </si>
  <si>
    <t>Total Costos y Gastos de Nomina Mes</t>
  </si>
  <si>
    <t>GASTOS ADMINISTRATIVOS</t>
  </si>
  <si>
    <t>Arriendo Oficina Admtiva</t>
  </si>
  <si>
    <t>Arriendo Oficina Costos</t>
  </si>
  <si>
    <t>Energía Administrativa</t>
  </si>
  <si>
    <t>Energía Costos</t>
  </si>
  <si>
    <t>Seccion</t>
  </si>
  <si>
    <t>Operaciones</t>
  </si>
  <si>
    <t>Ventas</t>
  </si>
  <si>
    <t>Administracion</t>
  </si>
  <si>
    <t>DEFINICION</t>
  </si>
  <si>
    <t>Insumos de aseo y cafeteria</t>
  </si>
  <si>
    <t>OPERACIONES</t>
  </si>
  <si>
    <t>COSTOS FIJOS</t>
  </si>
  <si>
    <t>GASTOS FIJOS</t>
  </si>
  <si>
    <t>GASTOS VARIABLES</t>
  </si>
  <si>
    <t>CONCEPTO</t>
  </si>
  <si>
    <t>TIPO</t>
  </si>
  <si>
    <t>Tipo de Costo Variable</t>
  </si>
  <si>
    <t>Promocion por Descargas</t>
  </si>
  <si>
    <t>Promocion en kms contratados</t>
  </si>
  <si>
    <t>Necesidad KW</t>
  </si>
  <si>
    <t>Costos variable a promocionar</t>
  </si>
  <si>
    <t>Otros Conceptos</t>
  </si>
  <si>
    <t>Cantidades Km a Enlazar /Mes</t>
  </si>
  <si>
    <t>Costo Unitario</t>
  </si>
  <si>
    <t>Costos x 1.955.000 km</t>
  </si>
  <si>
    <t>Costo Variable Total / Mes</t>
  </si>
  <si>
    <t>Descargas Mensuales</t>
  </si>
  <si>
    <t>COSTO VARIABLE TOTAL</t>
  </si>
  <si>
    <t>COSTO VARIABLE UNITARIO</t>
  </si>
  <si>
    <t>COSTO FIJO TOTAL</t>
  </si>
  <si>
    <t>COSTO FIJO UNITARIO</t>
  </si>
  <si>
    <t>FLUJO DE CAJA OPERATIVO</t>
  </si>
  <si>
    <t>INGRESOS POR AÑO</t>
  </si>
  <si>
    <t>CIFRAS PROYECTADAS ESCENARIO 2</t>
  </si>
  <si>
    <t>CIFRAS PROYECTADAS ESCENARIO 3</t>
  </si>
  <si>
    <t>Crecimiento Objetivo 1</t>
  </si>
  <si>
    <t>Crecimiento Objetivo 2</t>
  </si>
  <si>
    <t>Total Ingresos</t>
  </si>
  <si>
    <t>Depreciacion</t>
  </si>
  <si>
    <t>UTILIDAD ANTES DE IMPUESTOS TX</t>
  </si>
  <si>
    <t>Prov Tx</t>
  </si>
  <si>
    <t>Amortización</t>
  </si>
  <si>
    <t>FLUJO NETO DE INVERSION</t>
  </si>
  <si>
    <t>Inversion Fija</t>
  </si>
  <si>
    <t>Inversion en KW</t>
  </si>
  <si>
    <t>Prestamos</t>
  </si>
  <si>
    <t>FLUJO DE CAJA NETO DE INVERSIÓN</t>
  </si>
  <si>
    <t>Celulares</t>
  </si>
  <si>
    <t>Samsung</t>
  </si>
  <si>
    <t>FLUJO DE CAJA DE ACCIONISTA</t>
  </si>
  <si>
    <t>Flujo de caja operativo</t>
  </si>
  <si>
    <t>(-) Flujo Neto de Inversion</t>
  </si>
  <si>
    <t>Flujo de Caja del Accionista</t>
  </si>
  <si>
    <t>(-) Prestamos</t>
  </si>
  <si>
    <t>(+) Gasto Financiero</t>
  </si>
  <si>
    <t>(+) Amortización</t>
  </si>
  <si>
    <t>(-) Ahorro de Impuestos</t>
  </si>
  <si>
    <t>VALOR RESIDUAL</t>
  </si>
  <si>
    <t>CON LIQUIDACION</t>
  </si>
  <si>
    <t>CON PERPETUIDAD</t>
  </si>
  <si>
    <t>(+) Valor de la continuidad</t>
  </si>
  <si>
    <t>FCL</t>
  </si>
  <si>
    <t>FCA</t>
  </si>
  <si>
    <t>COSTO DE CAPITAL</t>
  </si>
  <si>
    <t>FUENTE</t>
  </si>
  <si>
    <t>MONTO</t>
  </si>
  <si>
    <t>% PARTICIPACION</t>
  </si>
  <si>
    <t>Tasa de oportunidad</t>
  </si>
  <si>
    <t>Tasa de Interes</t>
  </si>
  <si>
    <t>Perpetuidad</t>
  </si>
  <si>
    <t>Aporte</t>
  </si>
  <si>
    <t>Credito</t>
  </si>
  <si>
    <t>Total</t>
  </si>
  <si>
    <t>COSTO INVERSIÓN</t>
  </si>
  <si>
    <t>P * CI</t>
  </si>
  <si>
    <t>(+) Recuperacion de KW</t>
  </si>
  <si>
    <t>(-) Deudas</t>
  </si>
  <si>
    <t>(+) Recuperación del Activo Fijo</t>
  </si>
  <si>
    <t>(+) Recuperacion del KW</t>
  </si>
  <si>
    <t>EVALUACION DEL PROYECTO CON FCA</t>
  </si>
  <si>
    <t>EVALUACION DEL PROYECTO CON FCL</t>
  </si>
  <si>
    <t>FLUJO DE CAJA LIBRE CON VALOR RESIDUAL</t>
  </si>
  <si>
    <t>Costo del Aporte</t>
  </si>
  <si>
    <t>VPN</t>
  </si>
  <si>
    <t>CAUE</t>
  </si>
  <si>
    <t>TIR</t>
  </si>
  <si>
    <t>B/C</t>
  </si>
  <si>
    <t>FLUJO DE CAJA ACCIONISTA CON VALOR RESIDUAL</t>
  </si>
  <si>
    <t>Administracion y control de carga</t>
  </si>
  <si>
    <t>UNIDADES A VENDER</t>
  </si>
  <si>
    <t>PRECIO UNITARIO</t>
  </si>
  <si>
    <t>PRECIO PONDERADO</t>
  </si>
  <si>
    <t>Ingresos Operativos</t>
  </si>
  <si>
    <t>VENTAS MENSUALES</t>
  </si>
  <si>
    <t>COSTO UNITARIO PONDERADO</t>
  </si>
  <si>
    <t>Rentailidad Neta</t>
  </si>
  <si>
    <t>Punto de Equilibrio</t>
  </si>
  <si>
    <t>COSTO UNITARIO</t>
  </si>
  <si>
    <t>Equipo de operación</t>
  </si>
  <si>
    <t>Capacitaciones</t>
  </si>
  <si>
    <t>Mejoramiento de Tecnología</t>
  </si>
  <si>
    <t>Apoyo al cliente Call Center</t>
  </si>
  <si>
    <t>Apoyo al Cliente Call Center</t>
  </si>
  <si>
    <t>Internet Satelital</t>
  </si>
  <si>
    <t>PREOPERATIVOS</t>
  </si>
  <si>
    <t>Adecuaciones</t>
  </si>
  <si>
    <t>Oficina</t>
  </si>
  <si>
    <t>Estudio de Mercado</t>
  </si>
  <si>
    <t>DM CARGO S.A.S</t>
  </si>
  <si>
    <t>Kilometros enlazados</t>
  </si>
  <si>
    <t>TOTAL AÑO 2</t>
  </si>
  <si>
    <t>TOTAL AÑO 3</t>
  </si>
  <si>
    <t>TOTAL AÑO 4</t>
  </si>
  <si>
    <t>TOTAL AÑO 5</t>
  </si>
  <si>
    <t>Total Año 2</t>
  </si>
  <si>
    <t>Total Año 3</t>
  </si>
  <si>
    <t>Total Año 4</t>
  </si>
  <si>
    <t>Total Año 5</t>
  </si>
  <si>
    <t>Estructura</t>
  </si>
  <si>
    <t>CLASE</t>
  </si>
  <si>
    <t>Datos</t>
  </si>
  <si>
    <t>Vehiculos en circulación</t>
  </si>
  <si>
    <t>Kilometros por trayecto en promedio</t>
  </si>
  <si>
    <t>Valores</t>
  </si>
  <si>
    <t>Potencial estimado en Kilometros contratados</t>
  </si>
  <si>
    <t>Precio ponderado del kilometro</t>
  </si>
  <si>
    <t>Escenarios</t>
  </si>
  <si>
    <t>Descargas / Año</t>
  </si>
  <si>
    <t>Valor potencial estimado de ventas</t>
  </si>
  <si>
    <t>Promedio de viajes por camion al mes</t>
  </si>
  <si>
    <t>TRM</t>
  </si>
  <si>
    <t>USD</t>
  </si>
  <si>
    <t>RETORNO DE LA INVERSION</t>
  </si>
  <si>
    <t>AÑO</t>
  </si>
  <si>
    <t>FLUJO</t>
  </si>
  <si>
    <t>PERIODO DE RETORNO</t>
  </si>
  <si>
    <t>AÑOS</t>
  </si>
  <si>
    <t>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</si>
</sst>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6" formatCode="&quot;$&quot;\ #,##0;[Red]\-&quot;$&quot;\ #,##0"/>
    <numFmt numFmtId="41" formatCode="_-* #,##0_-;\-* #,##0_-;_-* &quot;-&quot;_-;_-@_-"/>
    <numFmt numFmtId="43" formatCode="_-* #,##0.00_-;\-* #,##0.00_-;_-* &quot;-&quot;??_-;_-@_-"/>
    <numFmt numFmtId="164" formatCode="0.0%"/>
    <numFmt numFmtId="165" formatCode="_-* #,##0_-;\-* #,##0_-;_-* &quot;-&quot;??_-;_-@_-"/>
    <numFmt numFmtId="166" formatCode="_-* #,##0.0_-;\-* #,##0.0_-;_-* &quot;-&quot;?_-;_-@_-"/>
    <numFmt numFmtId="167" formatCode="_(* #,##0_);_(* \(#,##0\);_(* &quot;-&quot;_);_(@_)"/>
    <numFmt numFmtId="168" formatCode="_-* #,##0.00\ _€_-;\-* #,##0.00\ _€_-;_-* &quot;-&quot;??\ _€_-;_-@_-"/>
    <numFmt numFmtId="169" formatCode="#,##0_ ;[Red]\-#,##0\ "/>
    <numFmt numFmtId="170" formatCode="_-* #,##0\ _€_-;\-* #,##0\ _€_-;_-* &quot;-&quot;??\ _€_-;_-@_-"/>
    <numFmt numFmtId="171" formatCode="0%&quot;EA&quot;"/>
    <numFmt numFmtId="172" formatCode="0\ &quot;KM&quot;"/>
    <numFmt numFmtId="173" formatCode="_-* #,##0.00_-;\-* #,##0.00_-;_-* &quot;-&quot;_-;_-@_-"/>
    <numFmt numFmtId="174" formatCode="0.000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FF0000"/>
      <name val="Bahnschrift SemiCondensed"/>
      <family val="2"/>
    </font>
    <font>
      <b/>
      <u/>
      <sz val="18"/>
      <color rgb="FFFF0000"/>
      <name val="Bahnschrift SemiCondensed"/>
      <family val="2"/>
    </font>
    <font>
      <sz val="18"/>
      <color rgb="FFFF0000"/>
      <name val="Bahnschrift SemiCondensed"/>
      <family val="2"/>
    </font>
    <font>
      <sz val="11"/>
      <color rgb="FF002060"/>
      <name val="Bahnschrift SemiCondensed"/>
      <family val="2"/>
    </font>
    <font>
      <b/>
      <sz val="18"/>
      <color rgb="FF002060"/>
      <name val="Bahnschrift SemiCondensed"/>
      <family val="2"/>
    </font>
    <font>
      <u/>
      <sz val="16"/>
      <color rgb="FF002060"/>
      <name val="Bahnschrift SemiCondensed"/>
      <family val="2"/>
    </font>
    <font>
      <sz val="18"/>
      <color rgb="FF002060"/>
      <name val="Bahnschrift SemiCondensed"/>
      <family val="2"/>
    </font>
    <font>
      <u/>
      <sz val="11"/>
      <color theme="10"/>
      <name val="Calibri"/>
      <family val="2"/>
      <scheme val="minor"/>
    </font>
    <font>
      <sz val="20"/>
      <color rgb="FF002060"/>
      <name val="Times New Roman"/>
      <family val="1"/>
    </font>
    <font>
      <sz val="11"/>
      <color rgb="FF002060"/>
      <name val="Times New Roman"/>
      <family val="1"/>
    </font>
    <font>
      <sz val="20"/>
      <color rgb="FFFF0000"/>
      <name val="Times New Roman"/>
      <family val="1"/>
    </font>
    <font>
      <b/>
      <sz val="18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b/>
      <sz val="11"/>
      <color rgb="FF002060"/>
      <name val="Times New Roman"/>
      <family val="1"/>
    </font>
    <font>
      <b/>
      <sz val="16"/>
      <color rgb="FF002060"/>
      <name val="Times New Roman"/>
      <family val="1"/>
    </font>
    <font>
      <sz val="11"/>
      <color theme="1"/>
      <name val="Times New Roman"/>
      <family val="1"/>
    </font>
    <font>
      <b/>
      <sz val="11"/>
      <color theme="5" tint="-0.499984740745262"/>
      <name val="Times New Roman"/>
      <family val="1"/>
    </font>
    <font>
      <sz val="11"/>
      <color theme="5" tint="-0.499984740745262"/>
      <name val="Times New Roman"/>
      <family val="1"/>
    </font>
    <font>
      <sz val="24"/>
      <color rgb="FFFF0000"/>
      <name val="Times New Roman"/>
      <family val="1"/>
    </font>
    <font>
      <b/>
      <sz val="18"/>
      <color rgb="FF002060"/>
      <name val="Times New Roman"/>
      <family val="1"/>
    </font>
    <font>
      <u/>
      <sz val="11"/>
      <color theme="10"/>
      <name val="Times New Roman"/>
      <family val="1"/>
    </font>
    <font>
      <b/>
      <sz val="20"/>
      <color rgb="FF002060"/>
      <name val="Times New Roman"/>
      <family val="1"/>
    </font>
    <font>
      <sz val="14"/>
      <color rgb="FF002060"/>
      <name val="Times New Roman"/>
      <family val="1"/>
    </font>
    <font>
      <sz val="12"/>
      <color rgb="FF002060"/>
      <name val="Times New Roman"/>
      <family val="1"/>
    </font>
    <font>
      <b/>
      <sz val="12"/>
      <color rgb="FF002060"/>
      <name val="Times New Roman"/>
      <family val="1"/>
    </font>
    <font>
      <b/>
      <sz val="22"/>
      <color rgb="FF002060"/>
      <name val="Times New Roman"/>
      <family val="1"/>
    </font>
    <font>
      <b/>
      <sz val="12"/>
      <color theme="0"/>
      <name val="Times New Roman"/>
      <family val="1"/>
    </font>
    <font>
      <b/>
      <sz val="14"/>
      <color rgb="FF002060"/>
      <name val="Times New Roman"/>
      <family val="1"/>
    </font>
    <font>
      <b/>
      <i/>
      <u/>
      <sz val="12"/>
      <color rgb="FF002060"/>
      <name val="Times New Roman"/>
      <family val="1"/>
    </font>
    <font>
      <b/>
      <i/>
      <u/>
      <sz val="11"/>
      <color rgb="FF002060"/>
      <name val="Times New Roman"/>
      <family val="1"/>
    </font>
    <font>
      <b/>
      <i/>
      <sz val="11"/>
      <color rgb="FF002060"/>
      <name val="Times New Roman"/>
      <family val="1"/>
    </font>
    <font>
      <sz val="22"/>
      <color rgb="FF002060"/>
      <name val="Times New Roman"/>
      <family val="1"/>
    </font>
    <font>
      <b/>
      <sz val="16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7" tint="0.59999389629810485"/>
      <name val="Times New Roman"/>
      <family val="1"/>
    </font>
    <font>
      <sz val="10"/>
      <color rgb="FF002060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</fills>
  <borders count="12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double">
        <color theme="0"/>
      </bottom>
      <diagonal/>
    </border>
    <border>
      <left/>
      <right/>
      <top style="double">
        <color theme="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double">
        <color theme="0"/>
      </bottom>
      <diagonal/>
    </border>
    <border>
      <left style="medium">
        <color indexed="64"/>
      </left>
      <right/>
      <top style="thin">
        <color theme="0"/>
      </top>
      <bottom style="thin">
        <color theme="0"/>
      </bottom>
      <diagonal/>
    </border>
    <border>
      <left/>
      <right style="medium">
        <color indexed="64"/>
      </right>
      <top style="thin">
        <color theme="0"/>
      </top>
      <bottom style="thin">
        <color theme="0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theme="0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theme="0"/>
      </bottom>
      <diagonal/>
    </border>
    <border>
      <left/>
      <right/>
      <top style="medium">
        <color indexed="64"/>
      </top>
      <bottom style="double">
        <color theme="0"/>
      </bottom>
      <diagonal/>
    </border>
    <border>
      <left/>
      <right style="medium">
        <color indexed="64"/>
      </right>
      <top style="medium">
        <color indexed="64"/>
      </top>
      <bottom style="double">
        <color theme="0"/>
      </bottom>
      <diagonal/>
    </border>
    <border>
      <left style="medium">
        <color indexed="64"/>
      </left>
      <right/>
      <top style="double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medium">
        <color rgb="FF002060"/>
      </right>
      <top style="thin">
        <color rgb="FF002060"/>
      </top>
      <bottom style="thin">
        <color rgb="FF002060"/>
      </bottom>
      <diagonal/>
    </border>
    <border>
      <left style="medium">
        <color rgb="FF002060"/>
      </left>
      <right style="thin">
        <color rgb="FF002060"/>
      </right>
      <top style="thin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medium">
        <color rgb="FF002060"/>
      </bottom>
      <diagonal/>
    </border>
    <border>
      <left style="thin">
        <color rgb="FF002060"/>
      </left>
      <right style="medium">
        <color rgb="FF002060"/>
      </right>
      <top style="thin">
        <color rgb="FF002060"/>
      </top>
      <bottom style="medium">
        <color rgb="FF002060"/>
      </bottom>
      <diagonal/>
    </border>
    <border>
      <left style="medium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/>
      <bottom/>
      <diagonal/>
    </border>
    <border>
      <left/>
      <right style="medium">
        <color rgb="FF002060"/>
      </right>
      <top/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2060"/>
      </left>
      <right/>
      <top/>
      <bottom/>
      <diagonal/>
    </border>
    <border>
      <left/>
      <right/>
      <top style="thin">
        <color rgb="FF002060"/>
      </top>
      <bottom style="thin">
        <color rgb="FF002060"/>
      </bottom>
      <diagonal/>
    </border>
    <border>
      <left style="medium">
        <color indexed="64"/>
      </left>
      <right style="thin">
        <color indexed="64"/>
      </right>
      <top/>
      <bottom style="medium">
        <color rgb="FF002060"/>
      </bottom>
      <diagonal/>
    </border>
    <border>
      <left style="medium">
        <color rgb="FF002060"/>
      </left>
      <right style="thin">
        <color indexed="64"/>
      </right>
      <top style="medium">
        <color rgb="FF002060"/>
      </top>
      <bottom style="medium">
        <color rgb="FF002060"/>
      </bottom>
      <diagonal/>
    </border>
    <border>
      <left style="thin">
        <color indexed="64"/>
      </left>
      <right style="thin">
        <color indexed="64"/>
      </right>
      <top style="medium">
        <color rgb="FF002060"/>
      </top>
      <bottom style="medium">
        <color rgb="FF002060"/>
      </bottom>
      <diagonal/>
    </border>
    <border>
      <left style="thin">
        <color indexed="64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thin">
        <color rgb="FF002060"/>
      </right>
      <top style="thin">
        <color rgb="FF002060"/>
      </top>
      <bottom/>
      <diagonal/>
    </border>
    <border>
      <left style="medium">
        <color rgb="FF002060"/>
      </left>
      <right style="thin">
        <color rgb="FF002060"/>
      </right>
      <top/>
      <bottom style="thin">
        <color rgb="FF002060"/>
      </bottom>
      <diagonal/>
    </border>
    <border>
      <left style="medium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/>
      <top style="thin">
        <color rgb="FF002060"/>
      </top>
      <bottom/>
      <diagonal/>
    </border>
    <border>
      <left style="thin">
        <color indexed="64"/>
      </left>
      <right/>
      <top style="medium">
        <color rgb="FF002060"/>
      </top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 style="medium">
        <color rgb="FF002060"/>
      </right>
      <top/>
      <bottom/>
      <diagonal/>
    </border>
    <border>
      <left style="medium">
        <color rgb="FF002060"/>
      </left>
      <right style="medium">
        <color rgb="FF002060"/>
      </right>
      <top/>
      <bottom style="medium">
        <color rgb="FF002060"/>
      </bottom>
      <diagonal/>
    </border>
    <border>
      <left/>
      <right/>
      <top style="medium">
        <color rgb="FF002060"/>
      </top>
      <bottom/>
      <diagonal/>
    </border>
    <border>
      <left style="thin">
        <color rgb="FF002060"/>
      </left>
      <right style="medium">
        <color rgb="FF002060"/>
      </right>
      <top/>
      <bottom style="thin">
        <color rgb="FF002060"/>
      </bottom>
      <diagonal/>
    </border>
    <border>
      <left style="medium">
        <color indexed="64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indexed="64"/>
      </left>
      <right style="medium">
        <color rgb="FF002060"/>
      </right>
      <top/>
      <bottom style="medium">
        <color rgb="FF002060"/>
      </bottom>
      <diagonal/>
    </border>
    <border>
      <left style="thin">
        <color rgb="FF002060"/>
      </left>
      <right/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 style="medium">
        <color rgb="FF002060"/>
      </bottom>
      <diagonal/>
    </border>
    <border>
      <left style="thin">
        <color indexed="64"/>
      </left>
      <right/>
      <top style="medium">
        <color rgb="FF002060"/>
      </top>
      <bottom style="thin">
        <color indexed="64"/>
      </bottom>
      <diagonal/>
    </border>
    <border>
      <left/>
      <right/>
      <top style="medium">
        <color rgb="FF002060"/>
      </top>
      <bottom style="thin">
        <color indexed="64"/>
      </bottom>
      <diagonal/>
    </border>
    <border>
      <left/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indexed="64"/>
      </left>
      <right style="medium">
        <color rgb="FF002060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206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2060"/>
      </right>
      <top/>
      <bottom style="thin">
        <color indexed="64"/>
      </bottom>
      <diagonal/>
    </border>
    <border>
      <left style="medium">
        <color rgb="FF00206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2060"/>
      </right>
      <top style="thin">
        <color indexed="64"/>
      </top>
      <bottom style="thin">
        <color indexed="64"/>
      </bottom>
      <diagonal/>
    </border>
    <border>
      <left style="medium">
        <color rgb="FF00206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2060"/>
      </right>
      <top style="thin">
        <color indexed="64"/>
      </top>
      <bottom style="thin">
        <color indexed="64"/>
      </bottom>
      <diagonal/>
    </border>
    <border>
      <left style="thin">
        <color rgb="FF002060"/>
      </left>
      <right style="medium">
        <color rgb="FF002060"/>
      </right>
      <top style="thin">
        <color rgb="FF002060"/>
      </top>
      <bottom/>
      <diagonal/>
    </border>
    <border>
      <left style="medium">
        <color rgb="FF002060"/>
      </left>
      <right style="thin">
        <color rgb="FF002060"/>
      </right>
      <top style="medium">
        <color rgb="FF002060"/>
      </top>
      <bottom/>
      <diagonal/>
    </border>
    <border>
      <left style="thin">
        <color rgb="FF002060"/>
      </left>
      <right style="thin">
        <color rgb="FF002060"/>
      </right>
      <top style="medium">
        <color rgb="FF002060"/>
      </top>
      <bottom/>
      <diagonal/>
    </border>
    <border>
      <left style="thin">
        <color rgb="FF002060"/>
      </left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 style="thin">
        <color rgb="FF002060"/>
      </right>
      <top style="medium">
        <color rgb="FF002060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thin">
        <color rgb="FF002060"/>
      </bottom>
      <diagonal/>
    </border>
    <border>
      <left style="thin">
        <color rgb="FF002060"/>
      </left>
      <right style="medium">
        <color rgb="FF002060"/>
      </right>
      <top style="medium">
        <color rgb="FF002060"/>
      </top>
      <bottom style="thin">
        <color rgb="FF002060"/>
      </bottom>
      <diagonal/>
    </border>
    <border>
      <left/>
      <right style="thin">
        <color rgb="FF002060"/>
      </right>
      <top style="medium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medium">
        <color rgb="FF002060"/>
      </bottom>
      <diagonal/>
    </border>
    <border>
      <left style="medium">
        <color rgb="FF002060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thin">
        <color indexed="64"/>
      </left>
      <right style="medium">
        <color rgb="FF002060"/>
      </right>
      <top style="medium">
        <color rgb="FF002060"/>
      </top>
      <bottom style="thin">
        <color indexed="64"/>
      </bottom>
      <diagonal/>
    </border>
    <border>
      <left style="medium">
        <color rgb="FF002060"/>
      </left>
      <right style="thin">
        <color indexed="64"/>
      </right>
      <top style="thin">
        <color indexed="64"/>
      </top>
      <bottom style="medium">
        <color rgb="FF00206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2060"/>
      </bottom>
      <diagonal/>
    </border>
    <border>
      <left style="thin">
        <color indexed="64"/>
      </left>
      <right style="medium">
        <color rgb="FF002060"/>
      </right>
      <top style="thin">
        <color indexed="64"/>
      </top>
      <bottom style="medium">
        <color rgb="FF002060"/>
      </bottom>
      <diagonal/>
    </border>
  </borders>
  <cellStyleXfs count="9">
    <xf numFmtId="0" fontId="0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655">
    <xf numFmtId="0" fontId="0" fillId="0" borderId="0" xfId="0"/>
    <xf numFmtId="0" fontId="3" fillId="0" borderId="0" xfId="0" applyFont="1" applyFill="1"/>
    <xf numFmtId="0" fontId="4" fillId="0" borderId="0" xfId="0" applyFont="1" applyFill="1" applyAlignment="1"/>
    <xf numFmtId="0" fontId="5" fillId="0" borderId="0" xfId="0" applyFont="1" applyFill="1" applyAlignment="1">
      <alignment horizontal="center"/>
    </xf>
    <xf numFmtId="0" fontId="6" fillId="0" borderId="2" xfId="0" applyFont="1" applyFill="1" applyBorder="1"/>
    <xf numFmtId="0" fontId="6" fillId="0" borderId="0" xfId="0" applyFont="1" applyFill="1" applyBorder="1"/>
    <xf numFmtId="0" fontId="6" fillId="0" borderId="36" xfId="0" applyFont="1" applyFill="1" applyBorder="1"/>
    <xf numFmtId="0" fontId="9" fillId="0" borderId="3" xfId="0" applyFont="1" applyFill="1" applyBorder="1" applyAlignment="1">
      <alignment horizontal="center"/>
    </xf>
    <xf numFmtId="0" fontId="6" fillId="0" borderId="8" xfId="0" applyFont="1" applyFill="1" applyBorder="1"/>
    <xf numFmtId="0" fontId="6" fillId="0" borderId="4" xfId="0" applyFont="1" applyFill="1" applyBorder="1"/>
    <xf numFmtId="0" fontId="6" fillId="0" borderId="9" xfId="0" applyFont="1" applyFill="1" applyBorder="1"/>
    <xf numFmtId="0" fontId="9" fillId="0" borderId="39" xfId="0" applyFont="1" applyFill="1" applyBorder="1"/>
    <xf numFmtId="41" fontId="6" fillId="0" borderId="0" xfId="0" applyNumberFormat="1" applyFont="1" applyFill="1" applyBorder="1"/>
    <xf numFmtId="41" fontId="6" fillId="0" borderId="9" xfId="0" applyNumberFormat="1" applyFont="1" applyFill="1" applyBorder="1"/>
    <xf numFmtId="41" fontId="6" fillId="0" borderId="40" xfId="0" applyNumberFormat="1" applyFont="1" applyFill="1" applyBorder="1"/>
    <xf numFmtId="0" fontId="6" fillId="0" borderId="37" xfId="0" applyFont="1" applyFill="1" applyBorder="1"/>
    <xf numFmtId="41" fontId="6" fillId="0" borderId="38" xfId="0" applyNumberFormat="1" applyFont="1" applyFill="1" applyBorder="1"/>
    <xf numFmtId="0" fontId="6" fillId="0" borderId="10" xfId="0" applyFont="1" applyFill="1" applyBorder="1"/>
    <xf numFmtId="0" fontId="6" fillId="0" borderId="11" xfId="0" applyFont="1" applyFill="1" applyBorder="1"/>
    <xf numFmtId="0" fontId="6" fillId="0" borderId="12" xfId="0" applyFont="1" applyFill="1" applyBorder="1"/>
    <xf numFmtId="0" fontId="9" fillId="0" borderId="41" xfId="0" applyFont="1" applyFill="1" applyBorder="1" applyAlignment="1">
      <alignment horizontal="center"/>
    </xf>
    <xf numFmtId="0" fontId="9" fillId="0" borderId="42" xfId="0" applyFont="1" applyFill="1" applyBorder="1" applyAlignment="1">
      <alignment horizontal="center"/>
    </xf>
    <xf numFmtId="0" fontId="9" fillId="0" borderId="43" xfId="0" applyFont="1" applyFill="1" applyBorder="1" applyAlignment="1">
      <alignment horizontal="center"/>
    </xf>
    <xf numFmtId="0" fontId="6" fillId="0" borderId="44" xfId="0" applyFont="1" applyFill="1" applyBorder="1"/>
    <xf numFmtId="0" fontId="6" fillId="0" borderId="5" xfId="0" applyFont="1" applyFill="1" applyBorder="1"/>
    <xf numFmtId="0" fontId="6" fillId="0" borderId="6" xfId="0" applyFont="1" applyFill="1" applyBorder="1"/>
    <xf numFmtId="0" fontId="6" fillId="0" borderId="7" xfId="0" applyFont="1" applyFill="1" applyBorder="1"/>
    <xf numFmtId="0" fontId="3" fillId="4" borderId="0" xfId="0" applyFont="1" applyFill="1"/>
    <xf numFmtId="0" fontId="12" fillId="0" borderId="0" xfId="0" applyFont="1" applyFill="1"/>
    <xf numFmtId="0" fontId="12" fillId="0" borderId="0" xfId="0" applyFont="1" applyFill="1" applyAlignment="1">
      <alignment wrapText="1"/>
    </xf>
    <xf numFmtId="0" fontId="11" fillId="0" borderId="0" xfId="0" applyFont="1" applyFill="1" applyBorder="1"/>
    <xf numFmtId="43" fontId="12" fillId="0" borderId="0" xfId="2" applyFont="1" applyFill="1"/>
    <xf numFmtId="0" fontId="13" fillId="3" borderId="25" xfId="0" applyFont="1" applyFill="1" applyBorder="1"/>
    <xf numFmtId="165" fontId="14" fillId="0" borderId="25" xfId="2" applyNumberFormat="1" applyFont="1" applyFill="1" applyBorder="1" applyAlignment="1">
      <alignment horizontal="center"/>
    </xf>
    <xf numFmtId="0" fontId="13" fillId="0" borderId="0" xfId="0" applyFont="1" applyFill="1" applyBorder="1"/>
    <xf numFmtId="0" fontId="15" fillId="0" borderId="0" xfId="0" applyFont="1" applyFill="1" applyBorder="1" applyAlignment="1">
      <alignment horizontal="center"/>
    </xf>
    <xf numFmtId="0" fontId="15" fillId="3" borderId="25" xfId="0" applyFont="1" applyFill="1" applyBorder="1" applyAlignment="1">
      <alignment wrapText="1"/>
    </xf>
    <xf numFmtId="165" fontId="16" fillId="3" borderId="25" xfId="2" applyNumberFormat="1" applyFont="1" applyFill="1" applyBorder="1" applyAlignment="1">
      <alignment horizontal="center"/>
    </xf>
    <xf numFmtId="165" fontId="12" fillId="0" borderId="0" xfId="2" applyNumberFormat="1" applyFont="1" applyFill="1" applyAlignment="1">
      <alignment horizontal="left"/>
    </xf>
    <xf numFmtId="165" fontId="12" fillId="0" borderId="0" xfId="2" applyNumberFormat="1" applyFont="1" applyFill="1" applyAlignment="1">
      <alignment horizontal="center"/>
    </xf>
    <xf numFmtId="0" fontId="12" fillId="0" borderId="25" xfId="0" applyFont="1" applyFill="1" applyBorder="1"/>
    <xf numFmtId="165" fontId="12" fillId="0" borderId="25" xfId="2" applyNumberFormat="1" applyFont="1" applyFill="1" applyBorder="1"/>
    <xf numFmtId="165" fontId="12" fillId="0" borderId="0" xfId="2" applyNumberFormat="1" applyFont="1" applyFill="1"/>
    <xf numFmtId="165" fontId="12" fillId="0" borderId="0" xfId="0" applyNumberFormat="1" applyFont="1" applyFill="1"/>
    <xf numFmtId="41" fontId="12" fillId="0" borderId="0" xfId="1" applyFont="1" applyFill="1"/>
    <xf numFmtId="0" fontId="12" fillId="0" borderId="0" xfId="0" applyFont="1" applyFill="1" applyBorder="1"/>
    <xf numFmtId="0" fontId="17" fillId="3" borderId="25" xfId="0" applyFont="1" applyFill="1" applyBorder="1" applyAlignment="1">
      <alignment horizontal="center" wrapText="1"/>
    </xf>
    <xf numFmtId="0" fontId="12" fillId="0" borderId="28" xfId="0" applyFont="1" applyFill="1" applyBorder="1"/>
    <xf numFmtId="165" fontId="12" fillId="0" borderId="25" xfId="0" applyNumberFormat="1" applyFont="1" applyFill="1" applyBorder="1"/>
    <xf numFmtId="172" fontId="12" fillId="0" borderId="25" xfId="0" applyNumberFormat="1" applyFont="1" applyFill="1" applyBorder="1"/>
    <xf numFmtId="9" fontId="12" fillId="0" borderId="25" xfId="3" applyFont="1" applyFill="1" applyBorder="1"/>
    <xf numFmtId="0" fontId="12" fillId="0" borderId="25" xfId="0" applyFont="1" applyFill="1" applyBorder="1" applyAlignment="1">
      <alignment wrapText="1"/>
    </xf>
    <xf numFmtId="165" fontId="12" fillId="0" borderId="25" xfId="2" applyNumberFormat="1" applyFont="1" applyFill="1" applyBorder="1" applyAlignment="1">
      <alignment wrapText="1"/>
    </xf>
    <xf numFmtId="0" fontId="17" fillId="0" borderId="25" xfId="0" applyFont="1" applyFill="1" applyBorder="1" applyAlignment="1">
      <alignment wrapText="1"/>
    </xf>
    <xf numFmtId="165" fontId="17" fillId="0" borderId="25" xfId="0" applyNumberFormat="1" applyFont="1" applyFill="1" applyBorder="1"/>
    <xf numFmtId="2" fontId="17" fillId="0" borderId="25" xfId="0" applyNumberFormat="1" applyFont="1" applyFill="1" applyBorder="1"/>
    <xf numFmtId="165" fontId="18" fillId="0" borderId="25" xfId="0" applyNumberFormat="1" applyFont="1" applyFill="1" applyBorder="1"/>
    <xf numFmtId="165" fontId="17" fillId="0" borderId="25" xfId="2" applyNumberFormat="1" applyFont="1" applyFill="1" applyBorder="1"/>
    <xf numFmtId="165" fontId="17" fillId="9" borderId="25" xfId="2" applyNumberFormat="1" applyFont="1" applyFill="1" applyBorder="1"/>
    <xf numFmtId="165" fontId="18" fillId="10" borderId="25" xfId="0" applyNumberFormat="1" applyFont="1" applyFill="1" applyBorder="1"/>
    <xf numFmtId="10" fontId="12" fillId="0" borderId="0" xfId="3" applyNumberFormat="1" applyFont="1" applyFill="1"/>
    <xf numFmtId="0" fontId="17" fillId="3" borderId="35" xfId="0" applyFont="1" applyFill="1" applyBorder="1" applyAlignment="1">
      <alignment horizontal="center" wrapText="1"/>
    </xf>
    <xf numFmtId="43" fontId="17" fillId="9" borderId="25" xfId="2" applyFont="1" applyFill="1" applyBorder="1"/>
    <xf numFmtId="0" fontId="17" fillId="0" borderId="25" xfId="0" applyFont="1" applyFill="1" applyBorder="1"/>
    <xf numFmtId="0" fontId="17" fillId="0" borderId="0" xfId="0" applyFont="1" applyFill="1" applyBorder="1"/>
    <xf numFmtId="165" fontId="17" fillId="0" borderId="0" xfId="2" applyNumberFormat="1" applyFont="1" applyFill="1" applyBorder="1"/>
    <xf numFmtId="165" fontId="17" fillId="0" borderId="0" xfId="0" applyNumberFormat="1" applyFont="1" applyFill="1" applyBorder="1"/>
    <xf numFmtId="165" fontId="18" fillId="0" borderId="0" xfId="0" applyNumberFormat="1" applyFont="1" applyFill="1" applyBorder="1"/>
    <xf numFmtId="0" fontId="12" fillId="3" borderId="47" xfId="0" applyFont="1" applyFill="1" applyBorder="1" applyAlignment="1">
      <alignment horizontal="center" wrapText="1"/>
    </xf>
    <xf numFmtId="0" fontId="17" fillId="3" borderId="47" xfId="0" applyFont="1" applyFill="1" applyBorder="1" applyAlignment="1">
      <alignment horizontal="center" wrapText="1"/>
    </xf>
    <xf numFmtId="165" fontId="12" fillId="0" borderId="47" xfId="0" applyNumberFormat="1" applyFont="1" applyFill="1" applyBorder="1"/>
    <xf numFmtId="10" fontId="12" fillId="0" borderId="47" xfId="3" applyNumberFormat="1" applyFont="1" applyFill="1" applyBorder="1"/>
    <xf numFmtId="2" fontId="17" fillId="0" borderId="47" xfId="0" applyNumberFormat="1" applyFont="1" applyFill="1" applyBorder="1"/>
    <xf numFmtId="165" fontId="17" fillId="0" borderId="47" xfId="0" applyNumberFormat="1" applyFont="1" applyFill="1" applyBorder="1"/>
    <xf numFmtId="43" fontId="17" fillId="0" borderId="47" xfId="0" applyNumberFormat="1" applyFont="1" applyFill="1" applyBorder="1"/>
    <xf numFmtId="2" fontId="12" fillId="0" borderId="47" xfId="0" applyNumberFormat="1" applyFont="1" applyFill="1" applyBorder="1"/>
    <xf numFmtId="10" fontId="18" fillId="0" borderId="0" xfId="3" applyNumberFormat="1" applyFont="1" applyFill="1" applyBorder="1"/>
    <xf numFmtId="1" fontId="17" fillId="0" borderId="47" xfId="0" applyNumberFormat="1" applyFont="1" applyFill="1" applyBorder="1"/>
    <xf numFmtId="0" fontId="12" fillId="2" borderId="47" xfId="0" applyFont="1" applyFill="1" applyBorder="1"/>
    <xf numFmtId="0" fontId="12" fillId="6" borderId="35" xfId="0" applyFont="1" applyFill="1" applyBorder="1" applyAlignment="1">
      <alignment horizontal="center"/>
    </xf>
    <xf numFmtId="0" fontId="12" fillId="6" borderId="25" xfId="0" applyFont="1" applyFill="1" applyBorder="1" applyAlignment="1">
      <alignment horizontal="center"/>
    </xf>
    <xf numFmtId="0" fontId="12" fillId="0" borderId="35" xfId="0" applyFont="1" applyFill="1" applyBorder="1"/>
    <xf numFmtId="41" fontId="12" fillId="0" borderId="25" xfId="1" applyFont="1" applyFill="1" applyBorder="1"/>
    <xf numFmtId="0" fontId="12" fillId="0" borderId="30" xfId="0" applyFont="1" applyFill="1" applyBorder="1"/>
    <xf numFmtId="165" fontId="17" fillId="12" borderId="25" xfId="0" applyNumberFormat="1" applyFont="1" applyFill="1" applyBorder="1"/>
    <xf numFmtId="0" fontId="17" fillId="3" borderId="25" xfId="0" applyFont="1" applyFill="1" applyBorder="1"/>
    <xf numFmtId="0" fontId="17" fillId="3" borderId="25" xfId="0" applyFont="1" applyFill="1" applyBorder="1" applyAlignment="1">
      <alignment horizontal="center"/>
    </xf>
    <xf numFmtId="165" fontId="12" fillId="9" borderId="31" xfId="0" applyNumberFormat="1" applyFont="1" applyFill="1" applyBorder="1"/>
    <xf numFmtId="0" fontId="12" fillId="0" borderId="47" xfId="0" applyFont="1" applyFill="1" applyBorder="1"/>
    <xf numFmtId="43" fontId="12" fillId="0" borderId="25" xfId="0" applyNumberFormat="1" applyFont="1" applyFill="1" applyBorder="1"/>
    <xf numFmtId="0" fontId="16" fillId="3" borderId="25" xfId="0" applyFont="1" applyFill="1" applyBorder="1"/>
    <xf numFmtId="165" fontId="17" fillId="0" borderId="25" xfId="0" applyNumberFormat="1" applyFont="1" applyFill="1" applyBorder="1" applyAlignment="1">
      <alignment horizontal="center"/>
    </xf>
    <xf numFmtId="0" fontId="20" fillId="0" borderId="25" xfId="0" applyFont="1" applyFill="1" applyBorder="1" applyAlignment="1">
      <alignment horizontal="center"/>
    </xf>
    <xf numFmtId="0" fontId="21" fillId="0" borderId="25" xfId="0" applyFont="1" applyFill="1" applyBorder="1"/>
    <xf numFmtId="3" fontId="21" fillId="0" borderId="25" xfId="0" applyNumberFormat="1" applyFont="1" applyFill="1" applyBorder="1" applyAlignment="1">
      <alignment horizontal="right"/>
    </xf>
    <xf numFmtId="0" fontId="21" fillId="0" borderId="25" xfId="0" applyFont="1" applyFill="1" applyBorder="1" applyAlignment="1">
      <alignment wrapText="1"/>
    </xf>
    <xf numFmtId="41" fontId="21" fillId="0" borderId="25" xfId="1" applyFont="1" applyFill="1" applyBorder="1"/>
    <xf numFmtId="0" fontId="12" fillId="0" borderId="0" xfId="0" applyFont="1" applyFill="1" applyAlignment="1">
      <alignment horizontal="center" vertical="center" wrapText="1"/>
    </xf>
    <xf numFmtId="41" fontId="12" fillId="0" borderId="0" xfId="1" applyFont="1" applyFill="1" applyAlignment="1">
      <alignment wrapText="1"/>
    </xf>
    <xf numFmtId="2" fontId="12" fillId="0" borderId="0" xfId="0" applyNumberFormat="1" applyFont="1" applyFill="1"/>
    <xf numFmtId="9" fontId="12" fillId="0" borderId="0" xfId="3" applyFont="1" applyFill="1"/>
    <xf numFmtId="9" fontId="12" fillId="0" borderId="0" xfId="0" applyNumberFormat="1" applyFont="1" applyFill="1"/>
    <xf numFmtId="41" fontId="12" fillId="0" borderId="0" xfId="0" applyNumberFormat="1" applyFont="1" applyFill="1"/>
    <xf numFmtId="0" fontId="19" fillId="0" borderId="0" xfId="0" applyFont="1" applyFill="1"/>
    <xf numFmtId="0" fontId="11" fillId="0" borderId="0" xfId="0" applyFont="1" applyFill="1"/>
    <xf numFmtId="0" fontId="24" fillId="0" borderId="0" xfId="8" applyFont="1" applyAlignment="1">
      <alignment vertical="center"/>
    </xf>
    <xf numFmtId="0" fontId="16" fillId="3" borderId="47" xfId="0" applyFont="1" applyFill="1" applyBorder="1"/>
    <xf numFmtId="0" fontId="15" fillId="0" borderId="0" xfId="0" applyFont="1" applyFill="1" applyBorder="1"/>
    <xf numFmtId="0" fontId="12" fillId="3" borderId="47" xfId="0" applyFont="1" applyFill="1" applyBorder="1"/>
    <xf numFmtId="0" fontId="12" fillId="0" borderId="47" xfId="0" applyFont="1" applyFill="1" applyBorder="1" applyAlignment="1">
      <alignment wrapText="1"/>
    </xf>
    <xf numFmtId="41" fontId="12" fillId="0" borderId="47" xfId="1" applyFont="1" applyFill="1" applyBorder="1"/>
    <xf numFmtId="9" fontId="12" fillId="0" borderId="47" xfId="1" applyNumberFormat="1" applyFont="1" applyFill="1" applyBorder="1"/>
    <xf numFmtId="41" fontId="17" fillId="0" borderId="30" xfId="0" applyNumberFormat="1" applyFont="1" applyFill="1" applyBorder="1"/>
    <xf numFmtId="41" fontId="17" fillId="0" borderId="0" xfId="0" applyNumberFormat="1" applyFont="1" applyFill="1"/>
    <xf numFmtId="9" fontId="12" fillId="0" borderId="30" xfId="1" applyNumberFormat="1" applyFont="1" applyFill="1" applyBorder="1"/>
    <xf numFmtId="41" fontId="12" fillId="0" borderId="47" xfId="0" applyNumberFormat="1" applyFont="1" applyFill="1" applyBorder="1"/>
    <xf numFmtId="41" fontId="17" fillId="0" borderId="47" xfId="0" applyNumberFormat="1" applyFont="1" applyFill="1" applyBorder="1"/>
    <xf numFmtId="0" fontId="16" fillId="3" borderId="64" xfId="0" applyFont="1" applyFill="1" applyBorder="1"/>
    <xf numFmtId="0" fontId="12" fillId="0" borderId="47" xfId="0" applyFont="1" applyFill="1" applyBorder="1" applyAlignment="1"/>
    <xf numFmtId="0" fontId="17" fillId="0" borderId="20" xfId="0" applyFont="1" applyFill="1" applyBorder="1"/>
    <xf numFmtId="0" fontId="17" fillId="0" borderId="17" xfId="0" applyFont="1" applyFill="1" applyBorder="1" applyAlignment="1">
      <alignment horizontal="center"/>
    </xf>
    <xf numFmtId="0" fontId="17" fillId="0" borderId="18" xfId="0" applyFont="1" applyFill="1" applyBorder="1" applyAlignment="1">
      <alignment horizontal="center"/>
    </xf>
    <xf numFmtId="0" fontId="17" fillId="0" borderId="19" xfId="0" applyFont="1" applyFill="1" applyBorder="1" applyAlignment="1">
      <alignment horizontal="center"/>
    </xf>
    <xf numFmtId="0" fontId="17" fillId="0" borderId="23" xfId="0" applyFont="1" applyFill="1" applyBorder="1" applyAlignment="1">
      <alignment horizontal="center"/>
    </xf>
    <xf numFmtId="0" fontId="17" fillId="0" borderId="21" xfId="0" applyFont="1" applyFill="1" applyBorder="1" applyAlignment="1">
      <alignment horizontal="center"/>
    </xf>
    <xf numFmtId="0" fontId="17" fillId="0" borderId="22" xfId="0" applyFont="1" applyFill="1" applyBorder="1" applyAlignment="1">
      <alignment horizontal="center"/>
    </xf>
    <xf numFmtId="41" fontId="17" fillId="0" borderId="0" xfId="0" applyNumberFormat="1" applyFont="1" applyFill="1" applyBorder="1"/>
    <xf numFmtId="0" fontId="17" fillId="0" borderId="98" xfId="0" applyFont="1" applyFill="1" applyBorder="1"/>
    <xf numFmtId="0" fontId="17" fillId="0" borderId="99" xfId="0" applyFont="1" applyFill="1" applyBorder="1" applyAlignment="1">
      <alignment horizontal="center"/>
    </xf>
    <xf numFmtId="0" fontId="17" fillId="0" borderId="30" xfId="0" applyFont="1" applyFill="1" applyBorder="1" applyAlignment="1">
      <alignment horizontal="center"/>
    </xf>
    <xf numFmtId="0" fontId="17" fillId="0" borderId="100" xfId="0" applyFont="1" applyFill="1" applyBorder="1" applyAlignment="1">
      <alignment horizontal="center"/>
    </xf>
    <xf numFmtId="0" fontId="12" fillId="0" borderId="27" xfId="0" applyFont="1" applyFill="1" applyBorder="1"/>
    <xf numFmtId="10" fontId="12" fillId="0" borderId="28" xfId="0" applyNumberFormat="1" applyFont="1" applyFill="1" applyBorder="1"/>
    <xf numFmtId="10" fontId="12" fillId="0" borderId="25" xfId="0" applyNumberFormat="1" applyFont="1" applyFill="1" applyBorder="1"/>
    <xf numFmtId="10" fontId="12" fillId="0" borderId="26" xfId="0" applyNumberFormat="1" applyFont="1" applyFill="1" applyBorder="1"/>
    <xf numFmtId="10" fontId="12" fillId="0" borderId="24" xfId="0" applyNumberFormat="1" applyFont="1" applyFill="1" applyBorder="1"/>
    <xf numFmtId="10" fontId="17" fillId="0" borderId="0" xfId="3" applyNumberFormat="1" applyFont="1" applyFill="1" applyBorder="1" applyAlignment="1">
      <alignment horizontal="center"/>
    </xf>
    <xf numFmtId="0" fontId="12" fillId="0" borderId="31" xfId="0" applyFont="1" applyFill="1" applyBorder="1"/>
    <xf numFmtId="41" fontId="12" fillId="0" borderId="32" xfId="1" applyFont="1" applyFill="1" applyBorder="1"/>
    <xf numFmtId="41" fontId="12" fillId="0" borderId="28" xfId="1" applyFont="1" applyFill="1" applyBorder="1"/>
    <xf numFmtId="0" fontId="17" fillId="0" borderId="1" xfId="0" applyFont="1" applyFill="1" applyBorder="1" applyAlignment="1">
      <alignment horizontal="center"/>
    </xf>
    <xf numFmtId="0" fontId="17" fillId="0" borderId="31" xfId="0" applyFont="1" applyFill="1" applyBorder="1"/>
    <xf numFmtId="41" fontId="17" fillId="0" borderId="25" xfId="0" applyNumberFormat="1" applyFont="1" applyFill="1" applyBorder="1"/>
    <xf numFmtId="41" fontId="17" fillId="0" borderId="32" xfId="0" applyNumberFormat="1" applyFont="1" applyFill="1" applyBorder="1"/>
    <xf numFmtId="0" fontId="22" fillId="6" borderId="25" xfId="0" applyFont="1" applyFill="1" applyBorder="1"/>
    <xf numFmtId="0" fontId="22" fillId="0" borderId="0" xfId="0" applyFont="1" applyFill="1" applyBorder="1"/>
    <xf numFmtId="9" fontId="12" fillId="0" borderId="47" xfId="3" applyFont="1" applyFill="1" applyBorder="1"/>
    <xf numFmtId="0" fontId="12" fillId="6" borderId="25" xfId="0" applyFont="1" applyFill="1" applyBorder="1" applyAlignment="1"/>
    <xf numFmtId="0" fontId="12" fillId="6" borderId="25" xfId="0" applyFont="1" applyFill="1" applyBorder="1"/>
    <xf numFmtId="9" fontId="12" fillId="0" borderId="47" xfId="0" applyNumberFormat="1" applyFont="1" applyFill="1" applyBorder="1"/>
    <xf numFmtId="0" fontId="12" fillId="0" borderId="25" xfId="0" applyFont="1" applyFill="1" applyBorder="1" applyAlignment="1"/>
    <xf numFmtId="41" fontId="12" fillId="0" borderId="35" xfId="1" applyFont="1" applyFill="1" applyBorder="1"/>
    <xf numFmtId="0" fontId="12" fillId="0" borderId="64" xfId="0" applyFont="1" applyFill="1" applyBorder="1"/>
    <xf numFmtId="171" fontId="12" fillId="0" borderId="68" xfId="0" applyNumberFormat="1" applyFont="1" applyFill="1" applyBorder="1"/>
    <xf numFmtId="171" fontId="12" fillId="0" borderId="25" xfId="0" applyNumberFormat="1" applyFont="1" applyFill="1" applyBorder="1"/>
    <xf numFmtId="10" fontId="12" fillId="0" borderId="47" xfId="0" applyNumberFormat="1" applyFont="1" applyFill="1" applyBorder="1"/>
    <xf numFmtId="6" fontId="12" fillId="0" borderId="30" xfId="0" applyNumberFormat="1" applyFont="1" applyFill="1" applyBorder="1"/>
    <xf numFmtId="0" fontId="12" fillId="6" borderId="47" xfId="0" applyFont="1" applyFill="1" applyBorder="1" applyAlignment="1">
      <alignment horizontal="center"/>
    </xf>
    <xf numFmtId="41" fontId="12" fillId="0" borderId="48" xfId="0" applyNumberFormat="1" applyFont="1" applyFill="1" applyBorder="1"/>
    <xf numFmtId="0" fontId="22" fillId="6" borderId="47" xfId="0" applyFont="1" applyFill="1" applyBorder="1" applyAlignment="1">
      <alignment vertical="center"/>
    </xf>
    <xf numFmtId="0" fontId="22" fillId="0" borderId="0" xfId="0" applyFont="1" applyFill="1"/>
    <xf numFmtId="0" fontId="12" fillId="0" borderId="0" xfId="0" applyFont="1" applyFill="1" applyBorder="1" applyAlignment="1">
      <alignment horizontal="center"/>
    </xf>
    <xf numFmtId="41" fontId="12" fillId="0" borderId="47" xfId="0" applyNumberFormat="1" applyFont="1" applyFill="1" applyBorder="1" applyAlignment="1">
      <alignment horizontal="center"/>
    </xf>
    <xf numFmtId="41" fontId="12" fillId="9" borderId="47" xfId="0" applyNumberFormat="1" applyFont="1" applyFill="1" applyBorder="1"/>
    <xf numFmtId="0" fontId="17" fillId="2" borderId="47" xfId="0" applyFont="1" applyFill="1" applyBorder="1"/>
    <xf numFmtId="0" fontId="17" fillId="3" borderId="47" xfId="0" applyFont="1" applyFill="1" applyBorder="1" applyAlignment="1">
      <alignment horizontal="center"/>
    </xf>
    <xf numFmtId="10" fontId="17" fillId="0" borderId="47" xfId="0" applyNumberFormat="1" applyFont="1" applyFill="1" applyBorder="1"/>
    <xf numFmtId="0" fontId="12" fillId="0" borderId="48" xfId="0" applyFont="1" applyFill="1" applyBorder="1"/>
    <xf numFmtId="0" fontId="17" fillId="0" borderId="0" xfId="0" applyFont="1" applyFill="1" applyBorder="1" applyAlignment="1">
      <alignment horizontal="right"/>
    </xf>
    <xf numFmtId="41" fontId="12" fillId="0" borderId="0" xfId="0" applyNumberFormat="1" applyFont="1" applyFill="1" applyBorder="1"/>
    <xf numFmtId="41" fontId="12" fillId="0" borderId="0" xfId="1" applyFont="1" applyFill="1" applyBorder="1"/>
    <xf numFmtId="0" fontId="12" fillId="9" borderId="47" xfId="0" applyFont="1" applyFill="1" applyBorder="1"/>
    <xf numFmtId="41" fontId="17" fillId="9" borderId="47" xfId="0" applyNumberFormat="1" applyFont="1" applyFill="1" applyBorder="1"/>
    <xf numFmtId="0" fontId="25" fillId="2" borderId="47" xfId="0" applyFont="1" applyFill="1" applyBorder="1" applyAlignment="1">
      <alignment horizontal="center"/>
    </xf>
    <xf numFmtId="0" fontId="26" fillId="2" borderId="47" xfId="0" applyFont="1" applyFill="1" applyBorder="1"/>
    <xf numFmtId="0" fontId="27" fillId="0" borderId="47" xfId="0" applyFont="1" applyFill="1" applyBorder="1"/>
    <xf numFmtId="41" fontId="27" fillId="0" borderId="47" xfId="1" applyFont="1" applyFill="1" applyBorder="1"/>
    <xf numFmtId="0" fontId="27" fillId="0" borderId="0" xfId="0" applyFont="1" applyFill="1"/>
    <xf numFmtId="41" fontId="27" fillId="0" borderId="0" xfId="1" applyFont="1" applyFill="1"/>
    <xf numFmtId="41" fontId="27" fillId="0" borderId="47" xfId="0" applyNumberFormat="1" applyFont="1" applyFill="1" applyBorder="1"/>
    <xf numFmtId="41" fontId="27" fillId="0" borderId="0" xfId="0" applyNumberFormat="1" applyFont="1" applyFill="1"/>
    <xf numFmtId="0" fontId="28" fillId="16" borderId="47" xfId="0" applyFont="1" applyFill="1" applyBorder="1"/>
    <xf numFmtId="41" fontId="28" fillId="16" borderId="47" xfId="0" applyNumberFormat="1" applyFont="1" applyFill="1" applyBorder="1"/>
    <xf numFmtId="41" fontId="17" fillId="10" borderId="47" xfId="0" applyNumberFormat="1" applyFont="1" applyFill="1" applyBorder="1"/>
    <xf numFmtId="9" fontId="17" fillId="10" borderId="47" xfId="0" applyNumberFormat="1" applyFont="1" applyFill="1" applyBorder="1"/>
    <xf numFmtId="6" fontId="17" fillId="10" borderId="47" xfId="0" applyNumberFormat="1" applyFont="1" applyFill="1" applyBorder="1"/>
    <xf numFmtId="173" fontId="17" fillId="10" borderId="47" xfId="0" applyNumberFormat="1" applyFont="1" applyFill="1" applyBorder="1"/>
    <xf numFmtId="0" fontId="12" fillId="0" borderId="25" xfId="0" applyFont="1" applyFill="1" applyBorder="1" applyAlignment="1">
      <alignment horizontal="center"/>
    </xf>
    <xf numFmtId="41" fontId="12" fillId="9" borderId="25" xfId="0" applyNumberFormat="1" applyFont="1" applyFill="1" applyBorder="1"/>
    <xf numFmtId="0" fontId="29" fillId="0" borderId="0" xfId="0" applyFont="1" applyFill="1" applyBorder="1" applyAlignment="1">
      <alignment vertical="center"/>
    </xf>
    <xf numFmtId="0" fontId="23" fillId="0" borderId="0" xfId="0" applyFont="1" applyFill="1" applyBorder="1" applyAlignment="1"/>
    <xf numFmtId="0" fontId="30" fillId="0" borderId="0" xfId="0" applyFont="1" applyFill="1" applyBorder="1" applyAlignment="1"/>
    <xf numFmtId="0" fontId="12" fillId="0" borderId="55" xfId="0" applyFont="1" applyFill="1" applyBorder="1"/>
    <xf numFmtId="0" fontId="12" fillId="0" borderId="56" xfId="0" applyFont="1" applyFill="1" applyBorder="1"/>
    <xf numFmtId="0" fontId="12" fillId="0" borderId="57" xfId="0" applyFont="1" applyFill="1" applyBorder="1"/>
    <xf numFmtId="0" fontId="31" fillId="0" borderId="0" xfId="0" applyFont="1" applyFill="1" applyBorder="1" applyAlignment="1"/>
    <xf numFmtId="0" fontId="17" fillId="0" borderId="0" xfId="0" applyFont="1" applyFill="1" applyBorder="1" applyAlignment="1"/>
    <xf numFmtId="0" fontId="17" fillId="8" borderId="73" xfId="0" applyFont="1" applyFill="1" applyBorder="1" applyAlignment="1">
      <alignment horizontal="center"/>
    </xf>
    <xf numFmtId="0" fontId="17" fillId="8" borderId="74" xfId="0" applyFont="1" applyFill="1" applyBorder="1" applyAlignment="1">
      <alignment horizontal="center"/>
    </xf>
    <xf numFmtId="0" fontId="17" fillId="11" borderId="102" xfId="0" applyFont="1" applyFill="1" applyBorder="1" applyAlignment="1">
      <alignment horizontal="left"/>
    </xf>
    <xf numFmtId="165" fontId="27" fillId="0" borderId="25" xfId="4" applyNumberFormat="1" applyFont="1" applyFill="1" applyBorder="1"/>
    <xf numFmtId="165" fontId="27" fillId="0" borderId="104" xfId="4" applyNumberFormat="1" applyFont="1" applyFill="1" applyBorder="1"/>
    <xf numFmtId="41" fontId="28" fillId="0" borderId="25" xfId="1" applyFont="1" applyFill="1" applyBorder="1"/>
    <xf numFmtId="41" fontId="28" fillId="0" borderId="104" xfId="1" applyFont="1" applyFill="1" applyBorder="1"/>
    <xf numFmtId="0" fontId="12" fillId="11" borderId="25" xfId="0" applyFont="1" applyFill="1" applyBorder="1"/>
    <xf numFmtId="0" fontId="12" fillId="11" borderId="104" xfId="0" applyFont="1" applyFill="1" applyBorder="1"/>
    <xf numFmtId="0" fontId="12" fillId="0" borderId="60" xfId="0" applyFont="1" applyFill="1" applyBorder="1" applyAlignment="1">
      <alignment horizontal="left"/>
    </xf>
    <xf numFmtId="0" fontId="12" fillId="0" borderId="0" xfId="0" applyFont="1" applyFill="1" applyBorder="1" applyAlignment="1">
      <alignment horizontal="left"/>
    </xf>
    <xf numFmtId="0" fontId="12" fillId="0" borderId="61" xfId="0" applyFont="1" applyFill="1" applyBorder="1"/>
    <xf numFmtId="41" fontId="28" fillId="17" borderId="25" xfId="1" applyFont="1" applyFill="1" applyBorder="1"/>
    <xf numFmtId="41" fontId="28" fillId="17" borderId="104" xfId="1" applyFont="1" applyFill="1" applyBorder="1"/>
    <xf numFmtId="0" fontId="12" fillId="11" borderId="32" xfId="0" applyFont="1" applyFill="1" applyBorder="1"/>
    <xf numFmtId="0" fontId="12" fillId="11" borderId="106" xfId="0" applyFont="1" applyFill="1" applyBorder="1"/>
    <xf numFmtId="0" fontId="17" fillId="0" borderId="0" xfId="0" applyFont="1" applyFill="1"/>
    <xf numFmtId="164" fontId="12" fillId="0" borderId="0" xfId="3" applyNumberFormat="1" applyFont="1" applyFill="1" applyBorder="1"/>
    <xf numFmtId="166" fontId="12" fillId="0" borderId="0" xfId="0" applyNumberFormat="1" applyFont="1" applyFill="1"/>
    <xf numFmtId="164" fontId="12" fillId="0" borderId="0" xfId="0" applyNumberFormat="1" applyFont="1" applyFill="1"/>
    <xf numFmtId="165" fontId="12" fillId="0" borderId="104" xfId="2" applyNumberFormat="1" applyFont="1" applyFill="1" applyBorder="1"/>
    <xf numFmtId="0" fontId="12" fillId="0" borderId="60" xfId="0" applyFont="1" applyFill="1" applyBorder="1"/>
    <xf numFmtId="41" fontId="12" fillId="0" borderId="61" xfId="0" applyNumberFormat="1" applyFont="1" applyFill="1" applyBorder="1"/>
    <xf numFmtId="41" fontId="12" fillId="16" borderId="25" xfId="1" applyFont="1" applyFill="1" applyBorder="1"/>
    <xf numFmtId="41" fontId="12" fillId="16" borderId="104" xfId="1" applyFont="1" applyFill="1" applyBorder="1"/>
    <xf numFmtId="10" fontId="12" fillId="0" borderId="0" xfId="3" applyNumberFormat="1" applyFont="1" applyFill="1" applyBorder="1"/>
    <xf numFmtId="0" fontId="12" fillId="0" borderId="62" xfId="0" applyFont="1" applyFill="1" applyBorder="1"/>
    <xf numFmtId="0" fontId="12" fillId="0" borderId="75" xfId="0" applyFont="1" applyFill="1" applyBorder="1"/>
    <xf numFmtId="10" fontId="12" fillId="0" borderId="75" xfId="3" applyNumberFormat="1" applyFont="1" applyFill="1" applyBorder="1"/>
    <xf numFmtId="10" fontId="12" fillId="0" borderId="63" xfId="3" applyNumberFormat="1" applyFont="1" applyFill="1" applyBorder="1"/>
    <xf numFmtId="165" fontId="27" fillId="0" borderId="47" xfId="4" applyNumberFormat="1" applyFont="1" applyFill="1" applyBorder="1"/>
    <xf numFmtId="0" fontId="28" fillId="0" borderId="0" xfId="0" applyFont="1" applyFill="1" applyAlignment="1"/>
    <xf numFmtId="41" fontId="27" fillId="0" borderId="47" xfId="5" applyFont="1" applyFill="1" applyBorder="1"/>
    <xf numFmtId="3" fontId="28" fillId="15" borderId="47" xfId="0" applyNumberFormat="1" applyFont="1" applyFill="1" applyBorder="1"/>
    <xf numFmtId="3" fontId="27" fillId="0" borderId="47" xfId="0" applyNumberFormat="1" applyFont="1" applyFill="1" applyBorder="1"/>
    <xf numFmtId="41" fontId="17" fillId="0" borderId="0" xfId="1" applyFont="1" applyFill="1"/>
    <xf numFmtId="0" fontId="31" fillId="0" borderId="0" xfId="0" applyFont="1" applyFill="1" applyAlignment="1"/>
    <xf numFmtId="0" fontId="17" fillId="0" borderId="0" xfId="0" applyFont="1" applyFill="1" applyAlignment="1"/>
    <xf numFmtId="0" fontId="32" fillId="0" borderId="0" xfId="0" applyFont="1" applyFill="1"/>
    <xf numFmtId="0" fontId="33" fillId="0" borderId="0" xfId="0" applyFont="1" applyFill="1" applyAlignment="1">
      <alignment horizontal="left"/>
    </xf>
    <xf numFmtId="0" fontId="17" fillId="8" borderId="47" xfId="0" applyFont="1" applyFill="1" applyBorder="1" applyAlignment="1">
      <alignment horizontal="center"/>
    </xf>
    <xf numFmtId="9" fontId="12" fillId="0" borderId="47" xfId="3" applyNumberFormat="1" applyFont="1" applyFill="1" applyBorder="1"/>
    <xf numFmtId="0" fontId="17" fillId="8" borderId="25" xfId="0" applyFont="1" applyFill="1" applyBorder="1" applyAlignment="1">
      <alignment horizontal="center"/>
    </xf>
    <xf numFmtId="41" fontId="12" fillId="0" borderId="25" xfId="0" applyNumberFormat="1" applyFont="1" applyFill="1" applyBorder="1"/>
    <xf numFmtId="10" fontId="12" fillId="0" borderId="25" xfId="3" applyNumberFormat="1" applyFont="1" applyFill="1" applyBorder="1"/>
    <xf numFmtId="2" fontId="12" fillId="0" borderId="25" xfId="0" applyNumberFormat="1" applyFont="1" applyFill="1" applyBorder="1"/>
    <xf numFmtId="43" fontId="12" fillId="0" borderId="25" xfId="2" applyFont="1" applyFill="1" applyBorder="1"/>
    <xf numFmtId="0" fontId="31" fillId="0" borderId="58" xfId="0" applyFont="1" applyFill="1" applyBorder="1" applyAlignment="1">
      <alignment horizontal="left"/>
    </xf>
    <xf numFmtId="0" fontId="31" fillId="0" borderId="87" xfId="0" applyFont="1" applyFill="1" applyBorder="1" applyAlignment="1">
      <alignment horizontal="center"/>
    </xf>
    <xf numFmtId="0" fontId="31" fillId="0" borderId="59" xfId="0" applyFont="1" applyFill="1" applyBorder="1" applyAlignment="1">
      <alignment horizontal="center"/>
    </xf>
    <xf numFmtId="0" fontId="17" fillId="0" borderId="55" xfId="0" applyFont="1" applyFill="1" applyBorder="1" applyAlignment="1">
      <alignment horizontal="center"/>
    </xf>
    <xf numFmtId="0" fontId="17" fillId="0" borderId="56" xfId="0" applyFont="1" applyFill="1" applyBorder="1" applyAlignment="1">
      <alignment horizontal="center"/>
    </xf>
    <xf numFmtId="0" fontId="17" fillId="0" borderId="49" xfId="0" applyFont="1" applyFill="1" applyBorder="1"/>
    <xf numFmtId="0" fontId="12" fillId="0" borderId="96" xfId="0" applyFont="1" applyFill="1" applyBorder="1"/>
    <xf numFmtId="0" fontId="12" fillId="0" borderId="0" xfId="0" applyFont="1" applyFill="1" applyBorder="1" applyAlignment="1">
      <alignment horizontal="right"/>
    </xf>
    <xf numFmtId="10" fontId="12" fillId="0" borderId="96" xfId="3" applyNumberFormat="1" applyFont="1" applyFill="1" applyBorder="1"/>
    <xf numFmtId="0" fontId="12" fillId="0" borderId="59" xfId="0" applyFont="1" applyFill="1" applyBorder="1"/>
    <xf numFmtId="0" fontId="12" fillId="0" borderId="60" xfId="0" applyFont="1" applyFill="1" applyBorder="1" applyAlignment="1"/>
    <xf numFmtId="0" fontId="12" fillId="0" borderId="0" xfId="0" applyFont="1" applyFill="1" applyBorder="1" applyAlignment="1"/>
    <xf numFmtId="0" fontId="15" fillId="16" borderId="62" xfId="0" applyFont="1" applyFill="1" applyBorder="1" applyAlignment="1"/>
    <xf numFmtId="0" fontId="15" fillId="16" borderId="75" xfId="0" applyFont="1" applyFill="1" applyBorder="1" applyAlignment="1"/>
    <xf numFmtId="41" fontId="15" fillId="16" borderId="90" xfId="1" applyFont="1" applyFill="1" applyBorder="1"/>
    <xf numFmtId="41" fontId="12" fillId="0" borderId="63" xfId="1" applyFont="1" applyFill="1" applyBorder="1"/>
    <xf numFmtId="0" fontId="31" fillId="0" borderId="13" xfId="0" applyFont="1" applyFill="1" applyBorder="1" applyAlignment="1">
      <alignment horizontal="left"/>
    </xf>
    <xf numFmtId="0" fontId="31" fillId="0" borderId="14" xfId="0" applyFont="1" applyFill="1" applyBorder="1" applyAlignment="1">
      <alignment horizontal="center"/>
    </xf>
    <xf numFmtId="0" fontId="31" fillId="0" borderId="15" xfId="0" applyFont="1" applyFill="1" applyBorder="1" applyAlignment="1">
      <alignment horizontal="center"/>
    </xf>
    <xf numFmtId="0" fontId="17" fillId="0" borderId="34" xfId="0" applyFont="1" applyFill="1" applyBorder="1"/>
    <xf numFmtId="0" fontId="12" fillId="0" borderId="8" xfId="0" applyFont="1" applyFill="1" applyBorder="1"/>
    <xf numFmtId="169" fontId="12" fillId="0" borderId="16" xfId="7" applyNumberFormat="1" applyFont="1" applyFill="1" applyBorder="1"/>
    <xf numFmtId="0" fontId="12" fillId="0" borderId="16" xfId="0" applyFont="1" applyFill="1" applyBorder="1"/>
    <xf numFmtId="0" fontId="12" fillId="0" borderId="7" xfId="0" applyFont="1" applyFill="1" applyBorder="1"/>
    <xf numFmtId="168" fontId="12" fillId="0" borderId="29" xfId="7" applyFont="1" applyFill="1" applyBorder="1"/>
    <xf numFmtId="0" fontId="12" fillId="0" borderId="29" xfId="0" applyFont="1" applyFill="1" applyBorder="1"/>
    <xf numFmtId="0" fontId="12" fillId="0" borderId="9" xfId="0" applyFont="1" applyFill="1" applyBorder="1"/>
    <xf numFmtId="0" fontId="12" fillId="0" borderId="10" xfId="0" applyFont="1" applyFill="1" applyBorder="1"/>
    <xf numFmtId="0" fontId="12" fillId="0" borderId="11" xfId="0" applyFont="1" applyFill="1" applyBorder="1" applyAlignment="1"/>
    <xf numFmtId="0" fontId="12" fillId="0" borderId="11" xfId="0" applyFont="1" applyFill="1" applyBorder="1" applyAlignment="1">
      <alignment horizontal="right"/>
    </xf>
    <xf numFmtId="168" fontId="12" fillId="0" borderId="33" xfId="7" applyFont="1" applyFill="1" applyBorder="1"/>
    <xf numFmtId="0" fontId="12" fillId="0" borderId="33" xfId="0" applyFont="1" applyFill="1" applyBorder="1"/>
    <xf numFmtId="0" fontId="12" fillId="0" borderId="12" xfId="0" applyFont="1" applyFill="1" applyBorder="1"/>
    <xf numFmtId="0" fontId="17" fillId="0" borderId="9" xfId="0" applyFont="1" applyFill="1" applyBorder="1"/>
    <xf numFmtId="10" fontId="12" fillId="0" borderId="84" xfId="3" applyNumberFormat="1" applyFont="1" applyFill="1" applyBorder="1"/>
    <xf numFmtId="0" fontId="12" fillId="0" borderId="84" xfId="0" applyFont="1" applyFill="1" applyBorder="1"/>
    <xf numFmtId="0" fontId="12" fillId="0" borderId="85" xfId="0" applyFont="1" applyFill="1" applyBorder="1"/>
    <xf numFmtId="0" fontId="12" fillId="0" borderId="75" xfId="0" applyFont="1" applyFill="1" applyBorder="1" applyAlignment="1"/>
    <xf numFmtId="0" fontId="12" fillId="0" borderId="75" xfId="0" applyFont="1" applyFill="1" applyBorder="1" applyAlignment="1">
      <alignment horizontal="right"/>
    </xf>
    <xf numFmtId="10" fontId="12" fillId="0" borderId="49" xfId="3" applyNumberFormat="1" applyFont="1" applyFill="1" applyBorder="1"/>
    <xf numFmtId="0" fontId="12" fillId="0" borderId="86" xfId="0" applyFont="1" applyFill="1" applyBorder="1"/>
    <xf numFmtId="0" fontId="12" fillId="0" borderId="63" xfId="0" applyFont="1" applyFill="1" applyBorder="1"/>
    <xf numFmtId="0" fontId="31" fillId="0" borderId="55" xfId="0" applyFont="1" applyFill="1" applyBorder="1" applyAlignment="1">
      <alignment horizontal="left"/>
    </xf>
    <xf numFmtId="0" fontId="31" fillId="0" borderId="56" xfId="0" applyFont="1" applyFill="1" applyBorder="1" applyAlignment="1">
      <alignment horizontal="center"/>
    </xf>
    <xf numFmtId="0" fontId="31" fillId="0" borderId="57" xfId="0" applyFont="1" applyFill="1" applyBorder="1" applyAlignment="1">
      <alignment horizontal="center"/>
    </xf>
    <xf numFmtId="0" fontId="31" fillId="0" borderId="0" xfId="0" applyFont="1" applyFill="1"/>
    <xf numFmtId="0" fontId="17" fillId="0" borderId="89" xfId="0" applyFont="1" applyFill="1" applyBorder="1"/>
    <xf numFmtId="0" fontId="12" fillId="0" borderId="58" xfId="0" applyFont="1" applyFill="1" applyBorder="1"/>
    <xf numFmtId="0" fontId="12" fillId="0" borderId="87" xfId="0" applyFont="1" applyFill="1" applyBorder="1" applyAlignment="1"/>
    <xf numFmtId="0" fontId="12" fillId="0" borderId="59" xfId="0" applyFont="1" applyFill="1" applyBorder="1" applyAlignment="1">
      <alignment horizontal="right"/>
    </xf>
    <xf numFmtId="168" fontId="12" fillId="0" borderId="84" xfId="7" applyFont="1" applyFill="1" applyBorder="1" applyAlignment="1">
      <alignment horizontal="center"/>
    </xf>
    <xf numFmtId="0" fontId="12" fillId="0" borderId="87" xfId="0" applyFont="1" applyFill="1" applyBorder="1"/>
    <xf numFmtId="0" fontId="12" fillId="0" borderId="61" xfId="0" applyFont="1" applyFill="1" applyBorder="1" applyAlignment="1">
      <alignment horizontal="right"/>
    </xf>
    <xf numFmtId="168" fontId="12" fillId="0" borderId="85" xfId="7" applyFont="1" applyFill="1" applyBorder="1" applyAlignment="1">
      <alignment horizontal="center"/>
    </xf>
    <xf numFmtId="170" fontId="12" fillId="0" borderId="85" xfId="7" applyNumberFormat="1" applyFont="1" applyFill="1" applyBorder="1" applyAlignment="1"/>
    <xf numFmtId="0" fontId="12" fillId="0" borderId="63" xfId="0" applyFont="1" applyFill="1" applyBorder="1" applyAlignment="1">
      <alignment horizontal="right"/>
    </xf>
    <xf numFmtId="1" fontId="12" fillId="0" borderId="86" xfId="0" applyNumberFormat="1" applyFont="1" applyFill="1" applyBorder="1" applyAlignment="1">
      <alignment vertical="center"/>
    </xf>
    <xf numFmtId="0" fontId="17" fillId="8" borderId="83" xfId="0" applyFont="1" applyFill="1" applyBorder="1" applyAlignment="1">
      <alignment horizontal="center"/>
    </xf>
    <xf numFmtId="0" fontId="17" fillId="8" borderId="79" xfId="0" applyFont="1" applyFill="1" applyBorder="1" applyAlignment="1">
      <alignment horizontal="center"/>
    </xf>
    <xf numFmtId="0" fontId="17" fillId="8" borderId="57" xfId="0" applyFont="1" applyFill="1" applyBorder="1" applyAlignment="1">
      <alignment horizontal="center"/>
    </xf>
    <xf numFmtId="0" fontId="34" fillId="0" borderId="60" xfId="0" applyFont="1" applyFill="1" applyBorder="1"/>
    <xf numFmtId="3" fontId="17" fillId="0" borderId="69" xfId="0" applyNumberFormat="1" applyFont="1" applyFill="1" applyBorder="1"/>
    <xf numFmtId="3" fontId="17" fillId="0" borderId="66" xfId="0" applyNumberFormat="1" applyFont="1" applyFill="1" applyBorder="1"/>
    <xf numFmtId="3" fontId="17" fillId="0" borderId="61" xfId="0" applyNumberFormat="1" applyFont="1" applyFill="1" applyBorder="1"/>
    <xf numFmtId="41" fontId="12" fillId="0" borderId="69" xfId="0" applyNumberFormat="1" applyFont="1" applyFill="1" applyBorder="1"/>
    <xf numFmtId="41" fontId="12" fillId="0" borderId="66" xfId="0" applyNumberFormat="1" applyFont="1" applyFill="1" applyBorder="1"/>
    <xf numFmtId="41" fontId="17" fillId="0" borderId="69" xfId="0" applyNumberFormat="1" applyFont="1" applyFill="1" applyBorder="1"/>
    <xf numFmtId="41" fontId="17" fillId="0" borderId="66" xfId="0" applyNumberFormat="1" applyFont="1" applyFill="1" applyBorder="1"/>
    <xf numFmtId="41" fontId="17" fillId="0" borderId="61" xfId="0" applyNumberFormat="1" applyFont="1" applyFill="1" applyBorder="1"/>
    <xf numFmtId="165" fontId="12" fillId="0" borderId="69" xfId="0" applyNumberFormat="1" applyFont="1" applyFill="1" applyBorder="1"/>
    <xf numFmtId="165" fontId="12" fillId="0" borderId="66" xfId="0" applyNumberFormat="1" applyFont="1" applyFill="1" applyBorder="1"/>
    <xf numFmtId="165" fontId="12" fillId="0" borderId="61" xfId="0" applyNumberFormat="1" applyFont="1" applyFill="1" applyBorder="1"/>
    <xf numFmtId="165" fontId="17" fillId="0" borderId="69" xfId="0" applyNumberFormat="1" applyFont="1" applyFill="1" applyBorder="1"/>
    <xf numFmtId="165" fontId="17" fillId="0" borderId="66" xfId="0" applyNumberFormat="1" applyFont="1" applyFill="1" applyBorder="1"/>
    <xf numFmtId="165" fontId="17" fillId="0" borderId="61" xfId="0" applyNumberFormat="1" applyFont="1" applyFill="1" applyBorder="1"/>
    <xf numFmtId="165" fontId="12" fillId="0" borderId="91" xfId="0" applyNumberFormat="1" applyFont="1" applyFill="1" applyBorder="1"/>
    <xf numFmtId="165" fontId="12" fillId="0" borderId="92" xfId="0" applyNumberFormat="1" applyFont="1" applyFill="1" applyBorder="1"/>
    <xf numFmtId="165" fontId="12" fillId="0" borderId="63" xfId="0" applyNumberFormat="1" applyFont="1" applyFill="1" applyBorder="1"/>
    <xf numFmtId="0" fontId="34" fillId="0" borderId="62" xfId="0" applyFont="1" applyFill="1" applyBorder="1"/>
    <xf numFmtId="165" fontId="12" fillId="0" borderId="71" xfId="0" applyNumberFormat="1" applyFont="1" applyFill="1" applyBorder="1"/>
    <xf numFmtId="165" fontId="12" fillId="0" borderId="90" xfId="0" applyNumberFormat="1" applyFont="1" applyFill="1" applyBorder="1"/>
    <xf numFmtId="41" fontId="35" fillId="0" borderId="0" xfId="1" applyFont="1" applyFill="1" applyAlignment="1"/>
    <xf numFmtId="41" fontId="35" fillId="0" borderId="0" xfId="1" applyFont="1" applyFill="1"/>
    <xf numFmtId="0" fontId="12" fillId="3" borderId="47" xfId="1" applyNumberFormat="1" applyFont="1" applyFill="1" applyBorder="1"/>
    <xf numFmtId="0" fontId="12" fillId="3" borderId="47" xfId="1" applyNumberFormat="1" applyFont="1" applyFill="1" applyBorder="1" applyAlignment="1">
      <alignment horizontal="center"/>
    </xf>
    <xf numFmtId="41" fontId="12" fillId="3" borderId="47" xfId="1" applyFont="1" applyFill="1" applyBorder="1" applyAlignment="1">
      <alignment horizontal="center" wrapText="1"/>
    </xf>
    <xf numFmtId="0" fontId="12" fillId="0" borderId="47" xfId="1" applyNumberFormat="1" applyFont="1" applyFill="1" applyBorder="1"/>
    <xf numFmtId="0" fontId="12" fillId="9" borderId="47" xfId="1" applyNumberFormat="1" applyFont="1" applyFill="1" applyBorder="1"/>
    <xf numFmtId="41" fontId="12" fillId="9" borderId="47" xfId="1" applyFont="1" applyFill="1" applyBorder="1"/>
    <xf numFmtId="10" fontId="12" fillId="0" borderId="0" xfId="1" applyNumberFormat="1" applyFont="1" applyFill="1"/>
    <xf numFmtId="0" fontId="12" fillId="0" borderId="47" xfId="1" applyNumberFormat="1" applyFont="1" applyFill="1" applyBorder="1" applyAlignment="1">
      <alignment wrapText="1"/>
    </xf>
    <xf numFmtId="41" fontId="17" fillId="0" borderId="47" xfId="1" applyFont="1" applyFill="1" applyBorder="1"/>
    <xf numFmtId="41" fontId="12" fillId="0" borderId="0" xfId="1" applyFont="1" applyFill="1" applyBorder="1" applyAlignment="1">
      <alignment horizontal="center" wrapText="1"/>
    </xf>
    <xf numFmtId="10" fontId="12" fillId="0" borderId="0" xfId="1" applyNumberFormat="1" applyFont="1" applyFill="1" applyBorder="1"/>
    <xf numFmtId="10" fontId="17" fillId="0" borderId="0" xfId="1" applyNumberFormat="1" applyFont="1" applyFill="1" applyBorder="1"/>
    <xf numFmtId="0" fontId="12" fillId="0" borderId="0" xfId="0" applyFont="1" applyFill="1" applyAlignment="1">
      <alignment horizontal="left"/>
    </xf>
    <xf numFmtId="0" fontId="19" fillId="0" borderId="0" xfId="0" applyFont="1"/>
    <xf numFmtId="0" fontId="17" fillId="0" borderId="45" xfId="1" applyNumberFormat="1" applyFont="1" applyFill="1" applyBorder="1"/>
    <xf numFmtId="41" fontId="12" fillId="0" borderId="46" xfId="1" applyFont="1" applyFill="1" applyBorder="1"/>
    <xf numFmtId="41" fontId="17" fillId="7" borderId="112" xfId="1" applyFont="1" applyFill="1" applyBorder="1"/>
    <xf numFmtId="41" fontId="17" fillId="7" borderId="111" xfId="1" applyFont="1" applyFill="1" applyBorder="1"/>
    <xf numFmtId="41" fontId="17" fillId="7" borderId="112" xfId="1" applyFont="1" applyFill="1" applyBorder="1" applyAlignment="1">
      <alignment horizontal="center"/>
    </xf>
    <xf numFmtId="41" fontId="18" fillId="7" borderId="113" xfId="1" applyFont="1" applyFill="1" applyBorder="1" applyAlignment="1">
      <alignment horizontal="center" wrapText="1"/>
    </xf>
    <xf numFmtId="41" fontId="18" fillId="7" borderId="111" xfId="1" applyFont="1" applyFill="1" applyBorder="1" applyAlignment="1">
      <alignment horizontal="center" wrapText="1"/>
    </xf>
    <xf numFmtId="41" fontId="18" fillId="7" borderId="112" xfId="1" applyFont="1" applyFill="1" applyBorder="1" applyAlignment="1">
      <alignment horizontal="center" wrapText="1"/>
    </xf>
    <xf numFmtId="41" fontId="12" fillId="0" borderId="51" xfId="1" applyFont="1" applyFill="1" applyBorder="1"/>
    <xf numFmtId="41" fontId="12" fillId="0" borderId="50" xfId="1" applyFont="1" applyFill="1" applyBorder="1"/>
    <xf numFmtId="0" fontId="17" fillId="9" borderId="47" xfId="1" applyNumberFormat="1" applyFont="1" applyFill="1" applyBorder="1" applyAlignment="1"/>
    <xf numFmtId="41" fontId="17" fillId="9" borderId="47" xfId="1" applyFont="1" applyFill="1" applyBorder="1"/>
    <xf numFmtId="41" fontId="12" fillId="9" borderId="51" xfId="1" applyFont="1" applyFill="1" applyBorder="1"/>
    <xf numFmtId="41" fontId="12" fillId="9" borderId="50" xfId="1" applyFont="1" applyFill="1" applyBorder="1"/>
    <xf numFmtId="0" fontId="17" fillId="9" borderId="53" xfId="1" applyNumberFormat="1" applyFont="1" applyFill="1" applyBorder="1" applyAlignment="1"/>
    <xf numFmtId="41" fontId="12" fillId="9" borderId="53" xfId="1" applyFont="1" applyFill="1" applyBorder="1"/>
    <xf numFmtId="41" fontId="12" fillId="9" borderId="54" xfId="1" applyFont="1" applyFill="1" applyBorder="1"/>
    <xf numFmtId="41" fontId="12" fillId="9" borderId="52" xfId="1" applyFont="1" applyFill="1" applyBorder="1"/>
    <xf numFmtId="41" fontId="17" fillId="7" borderId="116" xfId="1" applyFont="1" applyFill="1" applyBorder="1"/>
    <xf numFmtId="41" fontId="17" fillId="7" borderId="117" xfId="1" applyFont="1" applyFill="1" applyBorder="1"/>
    <xf numFmtId="41" fontId="17" fillId="7" borderId="117" xfId="1" applyFont="1" applyFill="1" applyBorder="1" applyAlignment="1">
      <alignment horizontal="center"/>
    </xf>
    <xf numFmtId="41" fontId="18" fillId="7" borderId="118" xfId="1" applyFont="1" applyFill="1" applyBorder="1" applyAlignment="1">
      <alignment horizontal="center" wrapText="1"/>
    </xf>
    <xf numFmtId="41" fontId="18" fillId="7" borderId="114" xfId="1" applyFont="1" applyFill="1" applyBorder="1" applyAlignment="1">
      <alignment horizontal="center" wrapText="1"/>
    </xf>
    <xf numFmtId="0" fontId="12" fillId="0" borderId="25" xfId="1" applyNumberFormat="1" applyFont="1" applyFill="1" applyBorder="1"/>
    <xf numFmtId="41" fontId="12" fillId="0" borderId="104" xfId="1" applyFont="1" applyFill="1" applyBorder="1"/>
    <xf numFmtId="41" fontId="12" fillId="0" borderId="48" xfId="1" applyFont="1" applyFill="1" applyBorder="1"/>
    <xf numFmtId="41" fontId="12" fillId="0" borderId="115" xfId="1" applyFont="1" applyFill="1" applyBorder="1"/>
    <xf numFmtId="41" fontId="12" fillId="0" borderId="53" xfId="1" applyFont="1" applyFill="1" applyBorder="1"/>
    <xf numFmtId="41" fontId="12" fillId="0" borderId="54" xfId="1" applyFont="1" applyFill="1" applyBorder="1"/>
    <xf numFmtId="0" fontId="17" fillId="9" borderId="120" xfId="1" applyNumberFormat="1" applyFont="1" applyFill="1" applyBorder="1"/>
    <xf numFmtId="41" fontId="12" fillId="9" borderId="120" xfId="1" applyFont="1" applyFill="1" applyBorder="1"/>
    <xf numFmtId="41" fontId="12" fillId="9" borderId="121" xfId="1" applyFont="1" applyFill="1" applyBorder="1"/>
    <xf numFmtId="0" fontId="12" fillId="0" borderId="0" xfId="1" applyNumberFormat="1" applyFont="1" applyFill="1" applyBorder="1"/>
    <xf numFmtId="41" fontId="17" fillId="7" borderId="25" xfId="1" applyFont="1" applyFill="1" applyBorder="1" applyAlignment="1">
      <alignment horizontal="center"/>
    </xf>
    <xf numFmtId="41" fontId="18" fillId="7" borderId="25" xfId="1" applyFont="1" applyFill="1" applyBorder="1" applyAlignment="1">
      <alignment horizontal="center" wrapText="1"/>
    </xf>
    <xf numFmtId="164" fontId="12" fillId="0" borderId="25" xfId="3" applyNumberFormat="1" applyFont="1" applyFill="1" applyBorder="1"/>
    <xf numFmtId="0" fontId="12" fillId="0" borderId="0" xfId="1" applyNumberFormat="1" applyFont="1" applyFill="1"/>
    <xf numFmtId="0" fontId="36" fillId="0" borderId="0" xfId="0" applyFont="1" applyFill="1" applyBorder="1" applyAlignment="1">
      <alignment horizontal="center"/>
    </xf>
    <xf numFmtId="0" fontId="37" fillId="0" borderId="65" xfId="0" applyFont="1" applyFill="1" applyBorder="1"/>
    <xf numFmtId="0" fontId="37" fillId="0" borderId="88" xfId="0" applyFont="1" applyFill="1" applyBorder="1"/>
    <xf numFmtId="0" fontId="37" fillId="0" borderId="77" xfId="0" applyFont="1" applyFill="1" applyBorder="1"/>
    <xf numFmtId="0" fontId="37" fillId="0" borderId="0" xfId="0" applyFont="1" applyFill="1" applyBorder="1"/>
    <xf numFmtId="10" fontId="19" fillId="0" borderId="47" xfId="0" applyNumberFormat="1" applyFont="1" applyFill="1" applyBorder="1"/>
    <xf numFmtId="10" fontId="19" fillId="0" borderId="51" xfId="0" applyNumberFormat="1" applyFont="1" applyFill="1" applyBorder="1"/>
    <xf numFmtId="0" fontId="19" fillId="0" borderId="50" xfId="0" applyFont="1" applyFill="1" applyBorder="1"/>
    <xf numFmtId="10" fontId="19" fillId="0" borderId="0" xfId="0" applyNumberFormat="1" applyFont="1" applyFill="1" applyBorder="1"/>
    <xf numFmtId="10" fontId="19" fillId="0" borderId="47" xfId="3" applyNumberFormat="1" applyFont="1" applyFill="1" applyBorder="1"/>
    <xf numFmtId="10" fontId="19" fillId="0" borderId="51" xfId="3" applyNumberFormat="1" applyFont="1" applyFill="1" applyBorder="1"/>
    <xf numFmtId="10" fontId="19" fillId="0" borderId="0" xfId="3" applyNumberFormat="1" applyFont="1" applyFill="1" applyBorder="1"/>
    <xf numFmtId="10" fontId="37" fillId="0" borderId="53" xfId="3" applyNumberFormat="1" applyFont="1" applyFill="1" applyBorder="1"/>
    <xf numFmtId="10" fontId="37" fillId="0" borderId="54" xfId="3" applyNumberFormat="1" applyFont="1" applyFill="1" applyBorder="1"/>
    <xf numFmtId="0" fontId="37" fillId="0" borderId="52" xfId="0" applyFont="1" applyFill="1" applyBorder="1"/>
    <xf numFmtId="10" fontId="37" fillId="0" borderId="0" xfId="3" applyNumberFormat="1" applyFont="1" applyFill="1" applyBorder="1"/>
    <xf numFmtId="0" fontId="37" fillId="0" borderId="65" xfId="0" applyFont="1" applyFill="1" applyBorder="1" applyAlignment="1">
      <alignment horizontal="center"/>
    </xf>
    <xf numFmtId="0" fontId="37" fillId="0" borderId="88" xfId="0" applyFont="1" applyFill="1" applyBorder="1" applyAlignment="1">
      <alignment horizontal="center"/>
    </xf>
    <xf numFmtId="164" fontId="19" fillId="0" borderId="53" xfId="0" applyNumberFormat="1" applyFont="1" applyFill="1" applyBorder="1"/>
    <xf numFmtId="164" fontId="19" fillId="0" borderId="54" xfId="0" applyNumberFormat="1" applyFont="1" applyFill="1" applyBorder="1"/>
    <xf numFmtId="0" fontId="23" fillId="0" borderId="8" xfId="0" applyFont="1" applyFill="1" applyBorder="1"/>
    <xf numFmtId="0" fontId="23" fillId="0" borderId="0" xfId="0" applyFont="1" applyFill="1" applyBorder="1"/>
    <xf numFmtId="0" fontId="18" fillId="0" borderId="0" xfId="0" applyFont="1" applyFill="1" applyBorder="1" applyAlignment="1">
      <alignment horizontal="center"/>
    </xf>
    <xf numFmtId="0" fontId="23" fillId="0" borderId="9" xfId="0" applyFont="1" applyFill="1" applyBorder="1"/>
    <xf numFmtId="0" fontId="17" fillId="0" borderId="78" xfId="0" applyFont="1" applyFill="1" applyBorder="1"/>
    <xf numFmtId="0" fontId="17" fillId="0" borderId="79" xfId="0" applyFont="1" applyFill="1" applyBorder="1"/>
    <xf numFmtId="0" fontId="17" fillId="0" borderId="80" xfId="0" applyFont="1" applyFill="1" applyBorder="1"/>
    <xf numFmtId="0" fontId="23" fillId="0" borderId="59" xfId="0" applyFont="1" applyFill="1" applyBorder="1"/>
    <xf numFmtId="0" fontId="17" fillId="0" borderId="108" xfId="0" applyFont="1" applyFill="1" applyBorder="1"/>
    <xf numFmtId="165" fontId="12" fillId="0" borderId="109" xfId="0" applyNumberFormat="1" applyFont="1" applyFill="1" applyBorder="1"/>
    <xf numFmtId="0" fontId="12" fillId="0" borderId="109" xfId="0" applyFont="1" applyFill="1" applyBorder="1"/>
    <xf numFmtId="1" fontId="12" fillId="0" borderId="110" xfId="0" applyNumberFormat="1" applyFont="1" applyFill="1" applyBorder="1"/>
    <xf numFmtId="0" fontId="23" fillId="0" borderId="61" xfId="0" applyFont="1" applyFill="1" applyBorder="1"/>
    <xf numFmtId="10" fontId="12" fillId="0" borderId="50" xfId="0" applyNumberFormat="1" applyFont="1" applyFill="1" applyBorder="1"/>
    <xf numFmtId="10" fontId="12" fillId="0" borderId="51" xfId="0" applyNumberFormat="1" applyFont="1" applyFill="1" applyBorder="1"/>
    <xf numFmtId="10" fontId="12" fillId="0" borderId="50" xfId="3" applyNumberFormat="1" applyFont="1" applyFill="1" applyBorder="1"/>
    <xf numFmtId="10" fontId="12" fillId="0" borderId="51" xfId="3" applyNumberFormat="1" applyFont="1" applyFill="1" applyBorder="1"/>
    <xf numFmtId="10" fontId="17" fillId="0" borderId="76" xfId="0" applyNumberFormat="1" applyFont="1" applyFill="1" applyBorder="1"/>
    <xf numFmtId="10" fontId="17" fillId="0" borderId="64" xfId="0" applyNumberFormat="1" applyFont="1" applyFill="1" applyBorder="1"/>
    <xf numFmtId="10" fontId="17" fillId="0" borderId="107" xfId="0" applyNumberFormat="1" applyFont="1" applyFill="1" applyBorder="1"/>
    <xf numFmtId="0" fontId="18" fillId="0" borderId="49" xfId="0" applyFont="1" applyFill="1" applyBorder="1"/>
    <xf numFmtId="0" fontId="23" fillId="0" borderId="63" xfId="0" applyFont="1" applyFill="1" applyBorder="1"/>
    <xf numFmtId="10" fontId="12" fillId="0" borderId="0" xfId="0" applyNumberFormat="1" applyFont="1" applyFill="1"/>
    <xf numFmtId="10" fontId="12" fillId="0" borderId="0" xfId="0" applyNumberFormat="1" applyFont="1" applyFill="1" applyBorder="1"/>
    <xf numFmtId="0" fontId="13" fillId="3" borderId="47" xfId="0" applyFont="1" applyFill="1" applyBorder="1"/>
    <xf numFmtId="165" fontId="14" fillId="0" borderId="47" xfId="2" applyNumberFormat="1" applyFont="1" applyFill="1" applyBorder="1" applyAlignment="1">
      <alignment horizontal="center"/>
    </xf>
    <xf numFmtId="0" fontId="19" fillId="0" borderId="0" xfId="0" applyFont="1" applyBorder="1"/>
    <xf numFmtId="0" fontId="13" fillId="0" borderId="0" xfId="0" applyFont="1" applyFill="1" applyBorder="1" applyAlignment="1">
      <alignment horizontal="center"/>
    </xf>
    <xf numFmtId="0" fontId="15" fillId="3" borderId="47" xfId="0" applyFont="1" applyFill="1" applyBorder="1" applyAlignment="1">
      <alignment wrapText="1"/>
    </xf>
    <xf numFmtId="165" fontId="16" fillId="3" borderId="47" xfId="2" applyNumberFormat="1" applyFont="1" applyFill="1" applyBorder="1" applyAlignment="1">
      <alignment horizontal="center"/>
    </xf>
    <xf numFmtId="164" fontId="11" fillId="0" borderId="0" xfId="3" applyNumberFormat="1" applyFont="1" applyFill="1" applyBorder="1"/>
    <xf numFmtId="0" fontId="17" fillId="9" borderId="47" xfId="0" applyFont="1" applyFill="1" applyBorder="1"/>
    <xf numFmtId="0" fontId="38" fillId="9" borderId="47" xfId="0" applyFont="1" applyFill="1" applyBorder="1"/>
    <xf numFmtId="41" fontId="12" fillId="0" borderId="47" xfId="1" applyFont="1" applyFill="1" applyBorder="1" applyAlignment="1">
      <alignment wrapText="1"/>
    </xf>
    <xf numFmtId="0" fontId="17" fillId="3" borderId="47" xfId="0" applyFont="1" applyFill="1" applyBorder="1" applyAlignment="1">
      <alignment wrapText="1"/>
    </xf>
    <xf numFmtId="0" fontId="39" fillId="0" borderId="47" xfId="0" applyFont="1" applyFill="1" applyBorder="1" applyAlignment="1">
      <alignment wrapText="1"/>
    </xf>
    <xf numFmtId="165" fontId="12" fillId="0" borderId="47" xfId="2" applyNumberFormat="1" applyFont="1" applyFill="1" applyBorder="1"/>
    <xf numFmtId="10" fontId="12" fillId="0" borderId="47" xfId="1" applyNumberFormat="1" applyFont="1" applyFill="1" applyBorder="1"/>
    <xf numFmtId="0" fontId="17" fillId="9" borderId="47" xfId="0" applyFont="1" applyFill="1" applyBorder="1" applyAlignment="1"/>
    <xf numFmtId="9" fontId="12" fillId="9" borderId="47" xfId="0" applyNumberFormat="1" applyFont="1" applyFill="1" applyBorder="1"/>
    <xf numFmtId="10" fontId="17" fillId="0" borderId="47" xfId="1" applyNumberFormat="1" applyFont="1" applyFill="1" applyBorder="1"/>
    <xf numFmtId="0" fontId="17" fillId="0" borderId="47" xfId="0" applyFont="1" applyFill="1" applyBorder="1"/>
    <xf numFmtId="0" fontId="17" fillId="13" borderId="47" xfId="1" applyNumberFormat="1" applyFont="1" applyFill="1" applyBorder="1"/>
    <xf numFmtId="41" fontId="12" fillId="13" borderId="47" xfId="1" applyFont="1" applyFill="1" applyBorder="1"/>
    <xf numFmtId="9" fontId="12" fillId="0" borderId="25" xfId="0" applyNumberFormat="1" applyFont="1" applyFill="1" applyBorder="1"/>
    <xf numFmtId="174" fontId="17" fillId="10" borderId="31" xfId="0" applyNumberFormat="1" applyFont="1" applyFill="1" applyBorder="1"/>
    <xf numFmtId="0" fontId="17" fillId="10" borderId="28" xfId="0" applyFont="1" applyFill="1" applyBorder="1"/>
    <xf numFmtId="0" fontId="7" fillId="3" borderId="13" xfId="0" applyFont="1" applyFill="1" applyBorder="1" applyAlignment="1">
      <alignment horizontal="center"/>
    </xf>
    <xf numFmtId="0" fontId="7" fillId="3" borderId="14" xfId="0" applyFont="1" applyFill="1" applyBorder="1" applyAlignment="1">
      <alignment horizontal="center"/>
    </xf>
    <xf numFmtId="0" fontId="7" fillId="3" borderId="15" xfId="0" applyFont="1" applyFill="1" applyBorder="1" applyAlignment="1">
      <alignment horizontal="center"/>
    </xf>
    <xf numFmtId="0" fontId="8" fillId="3" borderId="13" xfId="0" applyFont="1" applyFill="1" applyBorder="1" applyAlignment="1">
      <alignment horizontal="center"/>
    </xf>
    <xf numFmtId="0" fontId="8" fillId="3" borderId="14" xfId="0" applyFont="1" applyFill="1" applyBorder="1" applyAlignment="1">
      <alignment horizontal="center"/>
    </xf>
    <xf numFmtId="0" fontId="8" fillId="3" borderId="15" xfId="0" applyFont="1" applyFill="1" applyBorder="1" applyAlignment="1">
      <alignment horizontal="center"/>
    </xf>
    <xf numFmtId="41" fontId="12" fillId="8" borderId="47" xfId="1" applyFont="1" applyFill="1" applyBorder="1" applyAlignment="1">
      <alignment horizontal="center" vertical="center" wrapText="1"/>
    </xf>
    <xf numFmtId="41" fontId="12" fillId="3" borderId="47" xfId="1" applyFont="1" applyFill="1" applyBorder="1" applyAlignment="1">
      <alignment horizontal="center"/>
    </xf>
    <xf numFmtId="41" fontId="12" fillId="5" borderId="47" xfId="1" applyFont="1" applyFill="1" applyBorder="1" applyAlignment="1">
      <alignment horizontal="center" wrapText="1"/>
    </xf>
    <xf numFmtId="0" fontId="18" fillId="14" borderId="78" xfId="0" applyFont="1" applyFill="1" applyBorder="1" applyAlignment="1">
      <alignment horizontal="center"/>
    </xf>
    <xf numFmtId="0" fontId="18" fillId="14" borderId="79" xfId="0" applyFont="1" applyFill="1" applyBorder="1" applyAlignment="1">
      <alignment horizontal="center"/>
    </xf>
    <xf numFmtId="0" fontId="18" fillId="14" borderId="80" xfId="0" applyFont="1" applyFill="1" applyBorder="1" applyAlignment="1">
      <alignment horizontal="center"/>
    </xf>
    <xf numFmtId="0" fontId="12" fillId="0" borderId="58" xfId="0" applyFont="1" applyFill="1" applyBorder="1"/>
    <xf numFmtId="0" fontId="12" fillId="0" borderId="87" xfId="0" applyFont="1" applyFill="1" applyBorder="1"/>
    <xf numFmtId="41" fontId="12" fillId="11" borderId="47" xfId="1" applyFont="1" applyFill="1" applyBorder="1" applyAlignment="1">
      <alignment horizontal="center" vertical="center" wrapText="1"/>
    </xf>
    <xf numFmtId="0" fontId="29" fillId="2" borderId="58" xfId="0" applyFont="1" applyFill="1" applyBorder="1" applyAlignment="1">
      <alignment horizontal="center" vertical="center"/>
    </xf>
    <xf numFmtId="0" fontId="29" fillId="2" borderId="87" xfId="0" applyFont="1" applyFill="1" applyBorder="1" applyAlignment="1">
      <alignment horizontal="center" vertical="center"/>
    </xf>
    <xf numFmtId="0" fontId="29" fillId="2" borderId="59" xfId="0" applyFont="1" applyFill="1" applyBorder="1" applyAlignment="1">
      <alignment horizontal="center" vertical="center"/>
    </xf>
    <xf numFmtId="0" fontId="29" fillId="2" borderId="62" xfId="0" applyFont="1" applyFill="1" applyBorder="1" applyAlignment="1">
      <alignment horizontal="center" vertical="center"/>
    </xf>
    <xf numFmtId="0" fontId="29" fillId="2" borderId="75" xfId="0" applyFont="1" applyFill="1" applyBorder="1" applyAlignment="1">
      <alignment horizontal="center" vertical="center"/>
    </xf>
    <xf numFmtId="0" fontId="29" fillId="2" borderId="63" xfId="0" applyFont="1" applyFill="1" applyBorder="1" applyAlignment="1">
      <alignment horizontal="center" vertical="center"/>
    </xf>
    <xf numFmtId="0" fontId="23" fillId="2" borderId="58" xfId="0" applyFont="1" applyFill="1" applyBorder="1" applyAlignment="1">
      <alignment horizontal="center"/>
    </xf>
    <xf numFmtId="0" fontId="23" fillId="2" borderId="87" xfId="0" applyFont="1" applyFill="1" applyBorder="1" applyAlignment="1">
      <alignment horizontal="center"/>
    </xf>
    <xf numFmtId="0" fontId="23" fillId="2" borderId="59" xfId="0" applyFont="1" applyFill="1" applyBorder="1" applyAlignment="1">
      <alignment horizontal="center"/>
    </xf>
    <xf numFmtId="0" fontId="17" fillId="2" borderId="62" xfId="0" applyFont="1" applyFill="1" applyBorder="1" applyAlignment="1">
      <alignment horizontal="center"/>
    </xf>
    <xf numFmtId="0" fontId="17" fillId="2" borderId="75" xfId="0" applyFont="1" applyFill="1" applyBorder="1" applyAlignment="1">
      <alignment horizontal="center"/>
    </xf>
    <xf numFmtId="0" fontId="17" fillId="2" borderId="63" xfId="0" applyFont="1" applyFill="1" applyBorder="1" applyAlignment="1">
      <alignment horizontal="center"/>
    </xf>
    <xf numFmtId="0" fontId="17" fillId="0" borderId="8" xfId="0" applyFont="1" applyFill="1" applyBorder="1" applyAlignment="1">
      <alignment horizontal="center"/>
    </xf>
    <xf numFmtId="0" fontId="17" fillId="0" borderId="0" xfId="0" applyFont="1" applyFill="1" applyAlignment="1">
      <alignment horizontal="center"/>
    </xf>
    <xf numFmtId="0" fontId="17" fillId="0" borderId="9" xfId="0" applyFont="1" applyFill="1" applyBorder="1" applyAlignment="1">
      <alignment horizontal="center"/>
    </xf>
    <xf numFmtId="0" fontId="17" fillId="0" borderId="50" xfId="0" applyFont="1" applyFill="1" applyBorder="1" applyAlignment="1">
      <alignment horizontal="left"/>
    </xf>
    <xf numFmtId="0" fontId="17" fillId="0" borderId="47" xfId="0" applyFont="1" applyFill="1" applyBorder="1" applyAlignment="1">
      <alignment horizontal="left"/>
    </xf>
    <xf numFmtId="0" fontId="17" fillId="0" borderId="67" xfId="0" applyFont="1" applyFill="1" applyBorder="1" applyAlignment="1">
      <alignment horizontal="left"/>
    </xf>
    <xf numFmtId="0" fontId="23" fillId="2" borderId="55" xfId="0" applyFont="1" applyFill="1" applyBorder="1" applyAlignment="1">
      <alignment horizontal="center"/>
    </xf>
    <xf numFmtId="0" fontId="23" fillId="2" borderId="56" xfId="0" applyFont="1" applyFill="1" applyBorder="1" applyAlignment="1">
      <alignment horizontal="center"/>
    </xf>
    <xf numFmtId="0" fontId="23" fillId="2" borderId="57" xfId="0" applyFont="1" applyFill="1" applyBorder="1" applyAlignment="1">
      <alignment horizontal="center"/>
    </xf>
    <xf numFmtId="0" fontId="18" fillId="0" borderId="62" xfId="0" applyFont="1" applyFill="1" applyBorder="1" applyAlignment="1">
      <alignment horizontal="center"/>
    </xf>
    <xf numFmtId="0" fontId="18" fillId="0" borderId="75" xfId="0" applyFont="1" applyFill="1" applyBorder="1" applyAlignment="1">
      <alignment horizontal="center"/>
    </xf>
    <xf numFmtId="0" fontId="18" fillId="0" borderId="63" xfId="0" applyFont="1" applyFill="1" applyBorder="1" applyAlignment="1">
      <alignment horizontal="center"/>
    </xf>
    <xf numFmtId="0" fontId="17" fillId="0" borderId="78" xfId="0" applyFont="1" applyFill="1" applyBorder="1"/>
    <xf numFmtId="0" fontId="17" fillId="0" borderId="79" xfId="0" applyFont="1" applyFill="1" applyBorder="1"/>
    <xf numFmtId="0" fontId="17" fillId="0" borderId="81" xfId="0" applyFont="1" applyFill="1" applyBorder="1"/>
    <xf numFmtId="10" fontId="17" fillId="0" borderId="72" xfId="3" applyNumberFormat="1" applyFont="1" applyFill="1" applyBorder="1" applyAlignment="1">
      <alignment horizontal="center"/>
    </xf>
    <xf numFmtId="10" fontId="17" fillId="0" borderId="73" xfId="3" applyNumberFormat="1" applyFont="1" applyFill="1" applyBorder="1" applyAlignment="1">
      <alignment horizontal="center"/>
    </xf>
    <xf numFmtId="10" fontId="17" fillId="0" borderId="74" xfId="3" applyNumberFormat="1" applyFont="1" applyFill="1" applyBorder="1" applyAlignment="1">
      <alignment horizontal="center"/>
    </xf>
    <xf numFmtId="0" fontId="12" fillId="0" borderId="47" xfId="0" applyFont="1" applyFill="1" applyBorder="1" applyAlignment="1">
      <alignment horizontal="left"/>
    </xf>
    <xf numFmtId="0" fontId="12" fillId="0" borderId="67" xfId="0" applyFont="1" applyFill="1" applyBorder="1" applyAlignment="1">
      <alignment horizontal="left"/>
    </xf>
    <xf numFmtId="0" fontId="12" fillId="0" borderId="50" xfId="0" applyFont="1" applyFill="1" applyBorder="1" applyAlignment="1">
      <alignment horizontal="left"/>
    </xf>
    <xf numFmtId="0" fontId="17" fillId="0" borderId="76" xfId="0" applyFont="1" applyFill="1" applyBorder="1" applyAlignment="1">
      <alignment horizontal="left"/>
    </xf>
    <xf numFmtId="0" fontId="17" fillId="0" borderId="64" xfId="0" applyFont="1" applyFill="1" applyBorder="1" applyAlignment="1">
      <alignment horizontal="left"/>
    </xf>
    <xf numFmtId="0" fontId="17" fillId="0" borderId="82" xfId="0" applyFont="1" applyFill="1" applyBorder="1" applyAlignment="1">
      <alignment horizontal="left"/>
    </xf>
    <xf numFmtId="0" fontId="18" fillId="0" borderId="72" xfId="0" applyFont="1" applyFill="1" applyBorder="1" applyAlignment="1">
      <alignment horizontal="left"/>
    </xf>
    <xf numFmtId="0" fontId="18" fillId="0" borderId="73" xfId="0" applyFont="1" applyFill="1" applyBorder="1" applyAlignment="1">
      <alignment horizontal="left"/>
    </xf>
    <xf numFmtId="0" fontId="18" fillId="0" borderId="83" xfId="0" applyFont="1" applyFill="1" applyBorder="1" applyAlignment="1">
      <alignment horizontal="left"/>
    </xf>
    <xf numFmtId="0" fontId="17" fillId="3" borderId="67" xfId="0" applyFont="1" applyFill="1" applyBorder="1" applyAlignment="1">
      <alignment horizontal="center" wrapText="1"/>
    </xf>
    <xf numFmtId="0" fontId="17" fillId="3" borderId="70" xfId="0" applyFont="1" applyFill="1" applyBorder="1" applyAlignment="1">
      <alignment horizontal="center" wrapText="1"/>
    </xf>
    <xf numFmtId="0" fontId="17" fillId="3" borderId="48" xfId="0" applyFont="1" applyFill="1" applyBorder="1" applyAlignment="1">
      <alignment horizontal="center" wrapText="1"/>
    </xf>
    <xf numFmtId="0" fontId="18" fillId="6" borderId="78" xfId="0" applyFont="1" applyFill="1" applyBorder="1" applyAlignment="1">
      <alignment horizontal="center"/>
    </xf>
    <xf numFmtId="0" fontId="18" fillId="6" borderId="79" xfId="0" applyFont="1" applyFill="1" applyBorder="1" applyAlignment="1">
      <alignment horizontal="center"/>
    </xf>
    <xf numFmtId="0" fontId="18" fillId="6" borderId="80" xfId="0" applyFont="1" applyFill="1" applyBorder="1" applyAlignment="1">
      <alignment horizontal="center"/>
    </xf>
    <xf numFmtId="0" fontId="19" fillId="0" borderId="50" xfId="0" applyFont="1" applyFill="1" applyBorder="1"/>
    <xf numFmtId="0" fontId="19" fillId="0" borderId="47" xfId="0" applyFont="1" applyFill="1" applyBorder="1"/>
    <xf numFmtId="0" fontId="37" fillId="0" borderId="52" xfId="0" applyFont="1" applyFill="1" applyBorder="1"/>
    <xf numFmtId="0" fontId="37" fillId="0" borderId="53" xfId="0" applyFont="1" applyFill="1" applyBorder="1"/>
    <xf numFmtId="0" fontId="37" fillId="0" borderId="77" xfId="0" applyFont="1" applyFill="1" applyBorder="1"/>
    <xf numFmtId="0" fontId="37" fillId="0" borderId="65" xfId="0" applyFont="1" applyFill="1" applyBorder="1"/>
    <xf numFmtId="0" fontId="18" fillId="2" borderId="78" xfId="0" applyFont="1" applyFill="1" applyBorder="1" applyAlignment="1">
      <alignment horizontal="center"/>
    </xf>
    <xf numFmtId="0" fontId="18" fillId="2" borderId="79" xfId="0" applyFont="1" applyFill="1" applyBorder="1" applyAlignment="1">
      <alignment horizontal="center"/>
    </xf>
    <xf numFmtId="0" fontId="18" fillId="2" borderId="80" xfId="0" applyFont="1" applyFill="1" applyBorder="1" applyAlignment="1">
      <alignment horizontal="center"/>
    </xf>
    <xf numFmtId="0" fontId="12" fillId="0" borderId="25" xfId="0" applyFont="1" applyFill="1" applyBorder="1"/>
    <xf numFmtId="0" fontId="17" fillId="3" borderId="31" xfId="0" applyFont="1" applyFill="1" applyBorder="1" applyAlignment="1">
      <alignment horizontal="left" wrapText="1"/>
    </xf>
    <xf numFmtId="0" fontId="17" fillId="3" borderId="32" xfId="0" applyFont="1" applyFill="1" applyBorder="1" applyAlignment="1">
      <alignment horizontal="left" wrapText="1"/>
    </xf>
    <xf numFmtId="0" fontId="17" fillId="3" borderId="28" xfId="0" applyFont="1" applyFill="1" applyBorder="1" applyAlignment="1">
      <alignment horizontal="left" wrapText="1"/>
    </xf>
    <xf numFmtId="0" fontId="19" fillId="0" borderId="32" xfId="0" applyFont="1" applyBorder="1" applyAlignment="1">
      <alignment horizontal="left" wrapText="1"/>
    </xf>
    <xf numFmtId="0" fontId="19" fillId="0" borderId="28" xfId="0" applyFont="1" applyBorder="1" applyAlignment="1">
      <alignment horizontal="left" wrapText="1"/>
    </xf>
    <xf numFmtId="0" fontId="11" fillId="6" borderId="25" xfId="0" applyFont="1" applyFill="1" applyBorder="1"/>
    <xf numFmtId="0" fontId="17" fillId="0" borderId="35" xfId="0" applyFont="1" applyFill="1" applyBorder="1" applyAlignment="1">
      <alignment horizontal="center" vertical="center" wrapText="1"/>
    </xf>
    <xf numFmtId="0" fontId="17" fillId="0" borderId="21" xfId="0" applyFont="1" applyFill="1" applyBorder="1" applyAlignment="1">
      <alignment horizontal="center" vertical="center" wrapText="1"/>
    </xf>
    <xf numFmtId="0" fontId="17" fillId="0" borderId="30" xfId="0" applyFont="1" applyFill="1" applyBorder="1" applyAlignment="1">
      <alignment horizontal="center" vertical="center" wrapText="1"/>
    </xf>
    <xf numFmtId="0" fontId="12" fillId="0" borderId="47" xfId="0" applyFont="1" applyFill="1" applyBorder="1"/>
    <xf numFmtId="0" fontId="12" fillId="12" borderId="31" xfId="0" applyFont="1" applyFill="1" applyBorder="1"/>
    <xf numFmtId="0" fontId="12" fillId="12" borderId="28" xfId="0" applyFont="1" applyFill="1" applyBorder="1"/>
    <xf numFmtId="0" fontId="17" fillId="14" borderId="25" xfId="0" applyFont="1" applyFill="1" applyBorder="1"/>
    <xf numFmtId="41" fontId="11" fillId="3" borderId="25" xfId="1" applyFont="1" applyFill="1" applyBorder="1" applyAlignment="1"/>
    <xf numFmtId="0" fontId="12" fillId="9" borderId="50" xfId="1" applyNumberFormat="1" applyFont="1" applyFill="1" applyBorder="1" applyAlignment="1">
      <alignment horizontal="center" vertical="center" wrapText="1"/>
    </xf>
    <xf numFmtId="41" fontId="12" fillId="9" borderId="103" xfId="1" applyFont="1" applyFill="1" applyBorder="1" applyAlignment="1">
      <alignment horizontal="center" vertical="center" wrapText="1"/>
    </xf>
    <xf numFmtId="41" fontId="12" fillId="9" borderId="119" xfId="1" applyFont="1" applyFill="1" applyBorder="1" applyAlignment="1">
      <alignment horizontal="center" vertical="center" wrapText="1"/>
    </xf>
    <xf numFmtId="41" fontId="12" fillId="9" borderId="50" xfId="1" applyFont="1" applyFill="1" applyBorder="1" applyAlignment="1">
      <alignment horizontal="center" vertical="center" wrapText="1"/>
    </xf>
    <xf numFmtId="41" fontId="12" fillId="9" borderId="52" xfId="1" applyFont="1" applyFill="1" applyBorder="1" applyAlignment="1">
      <alignment horizontal="center" vertical="center" wrapText="1"/>
    </xf>
    <xf numFmtId="41" fontId="23" fillId="0" borderId="25" xfId="1" applyFont="1" applyFill="1" applyBorder="1" applyAlignment="1">
      <alignment horizontal="left"/>
    </xf>
    <xf numFmtId="41" fontId="20" fillId="7" borderId="25" xfId="1" applyFont="1" applyFill="1" applyBorder="1" applyAlignment="1">
      <alignment horizontal="center"/>
    </xf>
    <xf numFmtId="0" fontId="17" fillId="3" borderId="47" xfId="1" applyNumberFormat="1" applyFont="1" applyFill="1" applyBorder="1"/>
    <xf numFmtId="0" fontId="12" fillId="0" borderId="47" xfId="1" applyNumberFormat="1" applyFont="1" applyFill="1" applyBorder="1"/>
    <xf numFmtId="41" fontId="25" fillId="3" borderId="84" xfId="1" applyFont="1" applyFill="1" applyBorder="1" applyAlignment="1">
      <alignment horizontal="center" vertical="center"/>
    </xf>
    <xf numFmtId="41" fontId="25" fillId="3" borderId="85" xfId="1" applyFont="1" applyFill="1" applyBorder="1" applyAlignment="1">
      <alignment horizontal="center" vertical="center"/>
    </xf>
    <xf numFmtId="41" fontId="25" fillId="3" borderId="86" xfId="1" applyFont="1" applyFill="1" applyBorder="1" applyAlignment="1">
      <alignment horizontal="center" vertical="center"/>
    </xf>
    <xf numFmtId="41" fontId="18" fillId="3" borderId="84" xfId="1" applyFont="1" applyFill="1" applyBorder="1" applyAlignment="1">
      <alignment horizontal="center" vertical="center"/>
    </xf>
    <xf numFmtId="41" fontId="18" fillId="3" borderId="85" xfId="1" applyFont="1" applyFill="1" applyBorder="1" applyAlignment="1">
      <alignment horizontal="center" vertical="center"/>
    </xf>
    <xf numFmtId="41" fontId="18" fillId="3" borderId="86" xfId="1" applyFont="1" applyFill="1" applyBorder="1" applyAlignment="1">
      <alignment horizontal="center" vertical="center"/>
    </xf>
    <xf numFmtId="0" fontId="12" fillId="0" borderId="25" xfId="1" applyNumberFormat="1" applyFont="1" applyFill="1" applyBorder="1"/>
    <xf numFmtId="0" fontId="17" fillId="2" borderId="47" xfId="0" applyFont="1" applyFill="1" applyBorder="1"/>
    <xf numFmtId="0" fontId="25" fillId="6" borderId="67" xfId="0" applyFont="1" applyFill="1" applyBorder="1"/>
    <xf numFmtId="0" fontId="25" fillId="6" borderId="70" xfId="0" applyFont="1" applyFill="1" applyBorder="1"/>
    <xf numFmtId="0" fontId="25" fillId="6" borderId="48" xfId="0" applyFont="1" applyFill="1" applyBorder="1"/>
    <xf numFmtId="0" fontId="28" fillId="16" borderId="67" xfId="0" applyFont="1" applyFill="1" applyBorder="1"/>
    <xf numFmtId="0" fontId="28" fillId="16" borderId="48" xfId="0" applyFont="1" applyFill="1" applyBorder="1"/>
    <xf numFmtId="0" fontId="27" fillId="0" borderId="67" xfId="0" applyFont="1" applyFill="1" applyBorder="1"/>
    <xf numFmtId="0" fontId="27" fillId="0" borderId="48" xfId="0" applyFont="1" applyFill="1" applyBorder="1"/>
    <xf numFmtId="0" fontId="17" fillId="0" borderId="47" xfId="0" applyFont="1" applyFill="1" applyBorder="1"/>
    <xf numFmtId="0" fontId="17" fillId="9" borderId="67" xfId="0" applyFont="1" applyFill="1" applyBorder="1"/>
    <xf numFmtId="0" fontId="17" fillId="9" borderId="48" xfId="0" applyFont="1" applyFill="1" applyBorder="1"/>
    <xf numFmtId="0" fontId="11" fillId="6" borderId="47" xfId="0" applyFont="1" applyFill="1" applyBorder="1"/>
    <xf numFmtId="0" fontId="12" fillId="0" borderId="47" xfId="0" applyFont="1" applyFill="1" applyBorder="1" applyAlignment="1"/>
    <xf numFmtId="0" fontId="12" fillId="0" borderId="67" xfId="0" applyFont="1" applyFill="1" applyBorder="1"/>
    <xf numFmtId="0" fontId="12" fillId="0" borderId="70" xfId="0" applyFont="1" applyFill="1" applyBorder="1"/>
    <xf numFmtId="0" fontId="12" fillId="0" borderId="48" xfId="0" applyFont="1" applyFill="1" applyBorder="1"/>
    <xf numFmtId="0" fontId="12" fillId="9" borderId="67" xfId="0" applyFont="1" applyFill="1" applyBorder="1"/>
    <xf numFmtId="0" fontId="12" fillId="9" borderId="70" xfId="0" applyFont="1" applyFill="1" applyBorder="1"/>
    <xf numFmtId="0" fontId="12" fillId="9" borderId="48" xfId="0" applyFont="1" applyFill="1" applyBorder="1"/>
    <xf numFmtId="0" fontId="17" fillId="9" borderId="47" xfId="0" applyFont="1" applyFill="1" applyBorder="1" applyAlignment="1">
      <alignment horizontal="left"/>
    </xf>
    <xf numFmtId="0" fontId="17" fillId="0" borderId="47" xfId="0" applyFont="1" applyFill="1" applyBorder="1" applyAlignment="1">
      <alignment horizontal="right"/>
    </xf>
    <xf numFmtId="0" fontId="18" fillId="0" borderId="13" xfId="0" applyFont="1" applyFill="1" applyBorder="1" applyAlignment="1">
      <alignment horizontal="center"/>
    </xf>
    <xf numFmtId="0" fontId="18" fillId="0" borderId="14" xfId="0" applyFont="1" applyFill="1" applyBorder="1" applyAlignment="1">
      <alignment horizontal="center"/>
    </xf>
    <xf numFmtId="0" fontId="18" fillId="0" borderId="15" xfId="0" applyFont="1" applyFill="1" applyBorder="1" applyAlignment="1">
      <alignment horizontal="center"/>
    </xf>
    <xf numFmtId="0" fontId="11" fillId="3" borderId="47" xfId="0" applyFont="1" applyFill="1" applyBorder="1" applyAlignment="1">
      <alignment horizontal="center"/>
    </xf>
    <xf numFmtId="0" fontId="11" fillId="3" borderId="25" xfId="0" applyFont="1" applyFill="1" applyBorder="1" applyAlignment="1">
      <alignment horizontal="center"/>
    </xf>
    <xf numFmtId="0" fontId="15" fillId="6" borderId="31" xfId="0" applyFont="1" applyFill="1" applyBorder="1" applyAlignment="1"/>
    <xf numFmtId="0" fontId="15" fillId="6" borderId="32" xfId="0" applyFont="1" applyFill="1" applyBorder="1" applyAlignment="1"/>
    <xf numFmtId="0" fontId="15" fillId="6" borderId="28" xfId="0" applyFont="1" applyFill="1" applyBorder="1" applyAlignment="1"/>
    <xf numFmtId="0" fontId="12" fillId="0" borderId="31" xfId="0" applyFont="1" applyFill="1" applyBorder="1" applyAlignment="1"/>
    <xf numFmtId="0" fontId="12" fillId="0" borderId="32" xfId="0" applyFont="1" applyFill="1" applyBorder="1" applyAlignment="1"/>
    <xf numFmtId="0" fontId="12" fillId="0" borderId="28" xfId="0" applyFont="1" applyFill="1" applyBorder="1" applyAlignment="1"/>
    <xf numFmtId="0" fontId="17" fillId="0" borderId="31" xfId="0" applyFont="1" applyFill="1" applyBorder="1" applyAlignment="1"/>
    <xf numFmtId="0" fontId="17" fillId="0" borderId="32" xfId="0" applyFont="1" applyFill="1" applyBorder="1" applyAlignment="1"/>
    <xf numFmtId="0" fontId="17" fillId="0" borderId="28" xfId="0" applyFont="1" applyFill="1" applyBorder="1" applyAlignment="1"/>
    <xf numFmtId="0" fontId="12" fillId="3" borderId="47" xfId="0" applyFont="1" applyFill="1" applyBorder="1"/>
    <xf numFmtId="0" fontId="12" fillId="2" borderId="25" xfId="0" applyFont="1" applyFill="1" applyBorder="1"/>
    <xf numFmtId="0" fontId="12" fillId="0" borderId="97" xfId="0" applyFont="1" applyFill="1" applyBorder="1"/>
    <xf numFmtId="0" fontId="12" fillId="0" borderId="0" xfId="0" applyFont="1" applyFill="1" applyBorder="1"/>
    <xf numFmtId="0" fontId="17" fillId="0" borderId="97" xfId="0" applyFont="1" applyFill="1" applyBorder="1"/>
    <xf numFmtId="0" fontId="17" fillId="0" borderId="0" xfId="0" applyFont="1" applyFill="1" applyBorder="1"/>
    <xf numFmtId="0" fontId="17" fillId="9" borderId="47" xfId="0" applyFont="1" applyFill="1" applyBorder="1" applyAlignment="1">
      <alignment horizontal="center"/>
    </xf>
    <xf numFmtId="0" fontId="30" fillId="2" borderId="60" xfId="0" applyFont="1" applyFill="1" applyBorder="1" applyAlignment="1">
      <alignment horizontal="center"/>
    </xf>
    <xf numFmtId="0" fontId="30" fillId="2" borderId="0" xfId="0" applyFont="1" applyFill="1" applyBorder="1" applyAlignment="1">
      <alignment horizontal="center"/>
    </xf>
    <xf numFmtId="0" fontId="30" fillId="2" borderId="61" xfId="0" applyFont="1" applyFill="1" applyBorder="1" applyAlignment="1">
      <alignment horizontal="center"/>
    </xf>
    <xf numFmtId="0" fontId="30" fillId="2" borderId="62" xfId="0" applyFont="1" applyFill="1" applyBorder="1" applyAlignment="1">
      <alignment horizontal="center"/>
    </xf>
    <xf numFmtId="0" fontId="30" fillId="2" borderId="75" xfId="0" applyFont="1" applyFill="1" applyBorder="1" applyAlignment="1">
      <alignment horizontal="center"/>
    </xf>
    <xf numFmtId="0" fontId="30" fillId="2" borderId="63" xfId="0" applyFont="1" applyFill="1" applyBorder="1" applyAlignment="1">
      <alignment horizontal="center"/>
    </xf>
    <xf numFmtId="0" fontId="31" fillId="0" borderId="58" xfId="0" applyFont="1" applyFill="1" applyBorder="1" applyAlignment="1">
      <alignment horizontal="center"/>
    </xf>
    <xf numFmtId="0" fontId="31" fillId="0" borderId="87" xfId="0" applyFont="1" applyFill="1" applyBorder="1" applyAlignment="1">
      <alignment horizontal="center"/>
    </xf>
    <xf numFmtId="0" fontId="31" fillId="0" borderId="59" xfId="0" applyFont="1" applyFill="1" applyBorder="1" applyAlignment="1">
      <alignment horizontal="center"/>
    </xf>
    <xf numFmtId="0" fontId="17" fillId="0" borderId="62" xfId="0" applyFont="1" applyFill="1" applyBorder="1" applyAlignment="1">
      <alignment horizontal="center"/>
    </xf>
    <xf numFmtId="0" fontId="17" fillId="0" borderId="75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17" fillId="0" borderId="61" xfId="0" applyFont="1" applyFill="1" applyBorder="1" applyAlignment="1">
      <alignment horizontal="center"/>
    </xf>
    <xf numFmtId="0" fontId="31" fillId="0" borderId="55" xfId="0" applyFont="1" applyFill="1" applyBorder="1" applyAlignment="1">
      <alignment horizontal="left"/>
    </xf>
    <xf numFmtId="0" fontId="31" fillId="0" borderId="56" xfId="0" applyFont="1" applyFill="1" applyBorder="1" applyAlignment="1">
      <alignment horizontal="left"/>
    </xf>
    <xf numFmtId="0" fontId="31" fillId="0" borderId="57" xfId="0" applyFont="1" applyFill="1" applyBorder="1" applyAlignment="1">
      <alignment horizontal="left"/>
    </xf>
    <xf numFmtId="0" fontId="29" fillId="3" borderId="58" xfId="0" applyFont="1" applyFill="1" applyBorder="1" applyAlignment="1">
      <alignment horizontal="center" vertical="center"/>
    </xf>
    <xf numFmtId="0" fontId="29" fillId="3" borderId="87" xfId="0" applyFont="1" applyFill="1" applyBorder="1" applyAlignment="1">
      <alignment horizontal="center" vertical="center"/>
    </xf>
    <xf numFmtId="0" fontId="29" fillId="3" borderId="59" xfId="0" applyFont="1" applyFill="1" applyBorder="1" applyAlignment="1">
      <alignment horizontal="center" vertical="center"/>
    </xf>
    <xf numFmtId="0" fontId="29" fillId="3" borderId="62" xfId="0" applyFont="1" applyFill="1" applyBorder="1" applyAlignment="1">
      <alignment horizontal="center" vertical="center"/>
    </xf>
    <xf numFmtId="0" fontId="29" fillId="3" borderId="75" xfId="0" applyFont="1" applyFill="1" applyBorder="1" applyAlignment="1">
      <alignment horizontal="center" vertical="center"/>
    </xf>
    <xf numFmtId="0" fontId="29" fillId="3" borderId="63" xfId="0" applyFont="1" applyFill="1" applyBorder="1" applyAlignment="1">
      <alignment horizontal="center" vertical="center"/>
    </xf>
    <xf numFmtId="0" fontId="17" fillId="0" borderId="60" xfId="0" applyFont="1" applyFill="1" applyBorder="1" applyAlignment="1">
      <alignment horizontal="center"/>
    </xf>
    <xf numFmtId="0" fontId="12" fillId="11" borderId="35" xfId="0" applyFont="1" applyFill="1" applyBorder="1" applyAlignment="1">
      <alignment horizontal="center"/>
    </xf>
    <xf numFmtId="0" fontId="17" fillId="15" borderId="47" xfId="0" applyFont="1" applyFill="1" applyBorder="1" applyAlignment="1">
      <alignment horizontal="left"/>
    </xf>
    <xf numFmtId="0" fontId="12" fillId="0" borderId="103" xfId="0" applyFont="1" applyFill="1" applyBorder="1" applyAlignment="1">
      <alignment horizontal="left"/>
    </xf>
    <xf numFmtId="0" fontId="12" fillId="0" borderId="25" xfId="0" applyFont="1" applyFill="1" applyBorder="1" applyAlignment="1">
      <alignment horizontal="left"/>
    </xf>
    <xf numFmtId="0" fontId="17" fillId="8" borderId="72" xfId="0" applyFont="1" applyFill="1" applyBorder="1" applyAlignment="1">
      <alignment horizontal="left"/>
    </xf>
    <xf numFmtId="0" fontId="17" fillId="8" borderId="73" xfId="0" applyFont="1" applyFill="1" applyBorder="1" applyAlignment="1">
      <alignment horizontal="left"/>
    </xf>
    <xf numFmtId="0" fontId="28" fillId="16" borderId="105" xfId="0" applyFont="1" applyFill="1" applyBorder="1" applyAlignment="1">
      <alignment horizontal="left"/>
    </xf>
    <xf numFmtId="0" fontId="28" fillId="16" borderId="32" xfId="0" applyFont="1" applyFill="1" applyBorder="1" applyAlignment="1">
      <alignment horizontal="left"/>
    </xf>
    <xf numFmtId="0" fontId="28" fillId="16" borderId="28" xfId="0" applyFont="1" applyFill="1" applyBorder="1" applyAlignment="1">
      <alignment horizontal="left"/>
    </xf>
    <xf numFmtId="0" fontId="17" fillId="17" borderId="103" xfId="0" applyFont="1" applyFill="1" applyBorder="1" applyAlignment="1">
      <alignment horizontal="left"/>
    </xf>
    <xf numFmtId="0" fontId="17" fillId="17" borderId="25" xfId="0" applyFont="1" applyFill="1" applyBorder="1" applyAlignment="1">
      <alignment horizontal="left"/>
    </xf>
    <xf numFmtId="0" fontId="17" fillId="11" borderId="105" xfId="0" applyFont="1" applyFill="1" applyBorder="1" applyAlignment="1">
      <alignment horizontal="left"/>
    </xf>
    <xf numFmtId="0" fontId="17" fillId="11" borderId="32" xfId="0" applyFont="1" applyFill="1" applyBorder="1" applyAlignment="1">
      <alignment horizontal="left"/>
    </xf>
    <xf numFmtId="0" fontId="12" fillId="0" borderId="55" xfId="0" applyFont="1" applyFill="1" applyBorder="1" applyAlignment="1">
      <alignment horizontal="left"/>
    </xf>
    <xf numFmtId="0" fontId="12" fillId="0" borderId="56" xfId="0" applyFont="1" applyFill="1" applyBorder="1" applyAlignment="1">
      <alignment horizontal="left"/>
    </xf>
    <xf numFmtId="0" fontId="17" fillId="11" borderId="30" xfId="0" applyFont="1" applyFill="1" applyBorder="1" applyAlignment="1">
      <alignment horizontal="left"/>
    </xf>
    <xf numFmtId="0" fontId="17" fillId="11" borderId="35" xfId="0" applyFont="1" applyFill="1" applyBorder="1" applyAlignment="1">
      <alignment horizontal="left"/>
    </xf>
    <xf numFmtId="0" fontId="17" fillId="11" borderId="103" xfId="0" applyFont="1" applyFill="1" applyBorder="1" applyAlignment="1">
      <alignment horizontal="left"/>
    </xf>
    <xf numFmtId="0" fontId="17" fillId="11" borderId="25" xfId="0" applyFont="1" applyFill="1" applyBorder="1" applyAlignment="1">
      <alignment horizontal="left"/>
    </xf>
    <xf numFmtId="0" fontId="12" fillId="0" borderId="105" xfId="0" applyFont="1" applyFill="1" applyBorder="1" applyAlignment="1">
      <alignment horizontal="left"/>
    </xf>
    <xf numFmtId="0" fontId="12" fillId="0" borderId="32" xfId="0" applyFont="1" applyFill="1" applyBorder="1" applyAlignment="1">
      <alignment horizontal="left"/>
    </xf>
    <xf numFmtId="0" fontId="12" fillId="0" borderId="28" xfId="0" applyFont="1" applyFill="1" applyBorder="1" applyAlignment="1">
      <alignment horizontal="left"/>
    </xf>
    <xf numFmtId="0" fontId="17" fillId="0" borderId="103" xfId="0" applyFont="1" applyFill="1" applyBorder="1" applyAlignment="1">
      <alignment horizontal="left"/>
    </xf>
    <xf numFmtId="0" fontId="17" fillId="0" borderId="25" xfId="0" applyFont="1" applyFill="1" applyBorder="1" applyAlignment="1">
      <alignment horizontal="left"/>
    </xf>
    <xf numFmtId="0" fontId="17" fillId="0" borderId="5" xfId="0" applyFont="1" applyFill="1" applyBorder="1" applyAlignment="1">
      <alignment horizontal="left"/>
    </xf>
    <xf numFmtId="0" fontId="17" fillId="0" borderId="6" xfId="0" applyFont="1" applyFill="1" applyBorder="1" applyAlignment="1">
      <alignment horizontal="left"/>
    </xf>
    <xf numFmtId="0" fontId="17" fillId="0" borderId="55" xfId="0" applyFont="1" applyFill="1" applyBorder="1" applyAlignment="1">
      <alignment horizontal="left"/>
    </xf>
    <xf numFmtId="0" fontId="17" fillId="0" borderId="56" xfId="0" applyFont="1" applyFill="1" applyBorder="1" applyAlignment="1">
      <alignment horizontal="left"/>
    </xf>
    <xf numFmtId="0" fontId="17" fillId="0" borderId="60" xfId="0" applyFont="1" applyFill="1" applyBorder="1" applyAlignment="1">
      <alignment horizontal="left"/>
    </xf>
    <xf numFmtId="0" fontId="17" fillId="0" borderId="0" xfId="0" applyFont="1" applyFill="1" applyBorder="1" applyAlignment="1">
      <alignment horizontal="left"/>
    </xf>
    <xf numFmtId="0" fontId="12" fillId="0" borderId="70" xfId="0" applyFont="1" applyFill="1" applyBorder="1" applyAlignment="1">
      <alignment horizontal="left"/>
    </xf>
    <xf numFmtId="0" fontId="12" fillId="0" borderId="48" xfId="0" applyFont="1" applyFill="1" applyBorder="1" applyAlignment="1">
      <alignment horizontal="left"/>
    </xf>
    <xf numFmtId="0" fontId="27" fillId="0" borderId="93" xfId="0" applyFont="1" applyFill="1" applyBorder="1"/>
    <xf numFmtId="0" fontId="27" fillId="0" borderId="94" xfId="0" applyFont="1" applyFill="1" applyBorder="1"/>
    <xf numFmtId="0" fontId="27" fillId="0" borderId="95" xfId="0" applyFont="1" applyFill="1" applyBorder="1"/>
    <xf numFmtId="0" fontId="27" fillId="0" borderId="31" xfId="0" applyFont="1" applyFill="1" applyBorder="1"/>
    <xf numFmtId="0" fontId="27" fillId="0" borderId="32" xfId="0" applyFont="1" applyFill="1" applyBorder="1"/>
    <xf numFmtId="0" fontId="27" fillId="0" borderId="28" xfId="0" applyFont="1" applyFill="1" applyBorder="1"/>
    <xf numFmtId="0" fontId="31" fillId="0" borderId="55" xfId="0" applyFont="1" applyFill="1" applyBorder="1" applyAlignment="1">
      <alignment horizontal="center"/>
    </xf>
    <xf numFmtId="0" fontId="31" fillId="0" borderId="56" xfId="0" applyFont="1" applyFill="1" applyBorder="1" applyAlignment="1">
      <alignment horizontal="center"/>
    </xf>
    <xf numFmtId="0" fontId="31" fillId="0" borderId="57" xfId="0" applyFont="1" applyFill="1" applyBorder="1" applyAlignment="1">
      <alignment horizontal="center"/>
    </xf>
    <xf numFmtId="0" fontId="17" fillId="0" borderId="55" xfId="0" applyFont="1" applyFill="1" applyBorder="1" applyAlignment="1">
      <alignment horizontal="center"/>
    </xf>
    <xf numFmtId="0" fontId="17" fillId="0" borderId="56" xfId="0" applyFont="1" applyFill="1" applyBorder="1" applyAlignment="1">
      <alignment horizontal="center"/>
    </xf>
    <xf numFmtId="0" fontId="17" fillId="0" borderId="57" xfId="0" applyFont="1" applyFill="1" applyBorder="1" applyAlignment="1">
      <alignment horizontal="center"/>
    </xf>
    <xf numFmtId="0" fontId="17" fillId="11" borderId="101" xfId="0" applyFont="1" applyFill="1" applyBorder="1" applyAlignment="1">
      <alignment horizontal="left"/>
    </xf>
  </cellXfs>
  <cellStyles count="9">
    <cellStyle name="Hipervínculo" xfId="8" builtinId="8"/>
    <cellStyle name="Millares" xfId="2" builtinId="3"/>
    <cellStyle name="Millares [0]" xfId="1" builtinId="6"/>
    <cellStyle name="Millares [0] 2" xfId="5"/>
    <cellStyle name="Millares [0] 2 2" xfId="6"/>
    <cellStyle name="Millares 2" xfId="4"/>
    <cellStyle name="Millares 3" xfId="7"/>
    <cellStyle name="Normal" xfId="0" builtinId="0"/>
    <cellStyle name="Porcentaje" xfId="3" builtinId="5"/>
  </cellStyles>
  <dxfs count="56"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Times New Roman"/>
        <scheme val="none"/>
      </font>
    </dxf>
    <dxf>
      <font>
        <name val="Bahnschrift SemiCondensed"/>
        <scheme val="none"/>
      </font>
    </dxf>
    <dxf>
      <font>
        <name val="Bahnschrift SemiCondensed"/>
        <scheme val="none"/>
      </font>
    </dxf>
    <dxf>
      <font>
        <name val="Bahnschrift SemiCondensed"/>
        <scheme val="none"/>
      </font>
    </dxf>
    <dxf>
      <font>
        <name val="Bahnschrift SemiCondensed"/>
        <scheme val="none"/>
      </font>
    </dxf>
    <dxf>
      <font>
        <name val="Bahnschrift SemiCondensed"/>
        <scheme val="none"/>
      </font>
    </dxf>
    <dxf>
      <font>
        <name val="Bahnschrift SemiCondensed"/>
        <scheme val="none"/>
      </font>
    </dxf>
    <dxf>
      <font>
        <name val="Bahnschrift SemiCondensed"/>
        <scheme val="none"/>
      </font>
    </dxf>
    <dxf>
      <font>
        <color rgb="FF002060"/>
      </font>
    </dxf>
    <dxf>
      <font>
        <color rgb="FF002060"/>
      </font>
    </dxf>
    <dxf>
      <font>
        <color rgb="FF002060"/>
      </font>
    </dxf>
    <dxf>
      <font>
        <color rgb="FF002060"/>
      </font>
    </dxf>
    <dxf>
      <font>
        <color rgb="FF002060"/>
      </font>
    </dxf>
    <dxf>
      <font>
        <color rgb="FF002060"/>
      </font>
    </dxf>
    <dxf>
      <font>
        <color rgb="FF002060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33" formatCode="_-* #,##0_-;\-* #,##0_-;_-* &quot;-&quot;_-;_-@_-"/>
    </dxf>
    <dxf>
      <font>
        <color theme="4" tint="0.39997558519241921"/>
      </font>
    </dxf>
    <dxf>
      <font>
        <color theme="4" tint="0.39997558519241921"/>
      </font>
    </dxf>
    <dxf>
      <font>
        <color theme="4" tint="0.39997558519241921"/>
      </font>
    </dxf>
    <dxf>
      <font>
        <color theme="4" tint="0.39997558519241921"/>
      </font>
    </dxf>
    <dxf>
      <font>
        <color theme="4" tint="0.39997558519241921"/>
      </font>
    </dxf>
    <dxf>
      <font>
        <color theme="4" tint="0.39997558519241921"/>
      </font>
    </dxf>
    <dxf>
      <font>
        <color theme="4" tint="0.39997558519241921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ont>
        <b/>
        <i val="0"/>
        <color rgb="FFFF0000"/>
      </font>
      <fill>
        <patternFill>
          <bgColor theme="1"/>
        </patternFill>
      </fill>
    </dxf>
    <dxf>
      <font>
        <b/>
        <i val="0"/>
        <color rgb="FF002060"/>
      </font>
      <fill>
        <patternFill>
          <bgColor theme="0" tint="-0.34998626667073579"/>
        </patternFill>
      </fill>
    </dxf>
    <dxf>
      <font>
        <b/>
        <i val="0"/>
        <color rgb="FF00B05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theme="1"/>
        </patternFill>
      </fill>
    </dxf>
    <dxf>
      <font>
        <b/>
        <i val="0"/>
        <color rgb="FF002060"/>
      </font>
      <fill>
        <patternFill>
          <bgColor theme="0" tint="-0.34998626667073579"/>
        </patternFill>
      </fill>
    </dxf>
    <dxf>
      <font>
        <b/>
        <i val="0"/>
        <color rgb="FF00B050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/>
              <a:t>Ventas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'Estado Financiero'!$F$58:$J$58</c:f>
              <c:strCache>
                <c:ptCount val="5"/>
                <c:pt idx="0">
                  <c:v>Año 1</c:v>
                </c:pt>
                <c:pt idx="1">
                  <c:v>Año 2 </c:v>
                </c:pt>
                <c:pt idx="2">
                  <c:v>Año 3</c:v>
                </c:pt>
                <c:pt idx="3">
                  <c:v>Año 4</c:v>
                </c:pt>
                <c:pt idx="4">
                  <c:v>Año 5</c:v>
                </c:pt>
              </c:strCache>
            </c:strRef>
          </c:cat>
          <c:val>
            <c:numRef>
              <c:f>'Estado Financiero'!$F$60:$J$60</c:f>
              <c:numCache>
                <c:formatCode>_-* #,##0_-;\-* #,##0_-;_-* "-"??_-;_-@_-</c:formatCode>
                <c:ptCount val="5"/>
                <c:pt idx="0">
                  <c:v>977180000.00000012</c:v>
                </c:pt>
                <c:pt idx="1">
                  <c:v>1014664624.8000001</c:v>
                </c:pt>
                <c:pt idx="2">
                  <c:v>1073312240.1134399</c:v>
                </c:pt>
                <c:pt idx="3">
                  <c:v>1144210953.4463732</c:v>
                </c:pt>
                <c:pt idx="4">
                  <c:v>1226884771.6766875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F2-46CA-BA86-52B314CF90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9603808"/>
        <c:axId val="329605768"/>
      </c:lineChart>
      <c:catAx>
        <c:axId val="3296038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29605768"/>
        <c:crosses val="autoZero"/>
        <c:auto val="1"/>
        <c:lblAlgn val="ctr"/>
        <c:lblOffset val="100"/>
        <c:noMultiLvlLbl val="0"/>
      </c:catAx>
      <c:valAx>
        <c:axId val="329605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29603808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/>
              <a:t>Activo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'Estado Financiero'!$F$12:$J$12</c:f>
              <c:strCache>
                <c:ptCount val="5"/>
                <c:pt idx="0">
                  <c:v>Año 1</c:v>
                </c:pt>
                <c:pt idx="1">
                  <c:v>Año 2 </c:v>
                </c:pt>
                <c:pt idx="2">
                  <c:v>Año 3</c:v>
                </c:pt>
                <c:pt idx="3">
                  <c:v>Año 4</c:v>
                </c:pt>
                <c:pt idx="4">
                  <c:v>Año 5</c:v>
                </c:pt>
              </c:strCache>
            </c:strRef>
          </c:cat>
          <c:val>
            <c:numRef>
              <c:f>'Estado Financiero'!$F$28:$J$28</c:f>
              <c:numCache>
                <c:formatCode>_(* #,##0_);_(* \(#,##0\);_(* "-"_);_(@_)</c:formatCode>
                <c:ptCount val="5"/>
                <c:pt idx="0">
                  <c:v>497293400</c:v>
                </c:pt>
                <c:pt idx="1">
                  <c:v>516369574.824</c:v>
                </c:pt>
                <c:pt idx="2">
                  <c:v>546215736.24882722</c:v>
                </c:pt>
                <c:pt idx="3">
                  <c:v>582296562.92247963</c:v>
                </c:pt>
                <c:pt idx="4">
                  <c:v>624369818.7798804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C6-4616-A64C-C899146EFA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0814136"/>
        <c:axId val="330818056"/>
      </c:lineChart>
      <c:catAx>
        <c:axId val="330814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30818056"/>
        <c:crosses val="autoZero"/>
        <c:auto val="1"/>
        <c:lblAlgn val="ctr"/>
        <c:lblOffset val="100"/>
        <c:noMultiLvlLbl val="0"/>
      </c:catAx>
      <c:valAx>
        <c:axId val="330818056"/>
        <c:scaling>
          <c:orientation val="minMax"/>
          <c:min val="60000000.000000007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30814136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s-CO"/>
              <a:t>Pasivo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'Estado Financiero'!$F$12:$J$12</c:f>
              <c:strCache>
                <c:ptCount val="5"/>
                <c:pt idx="0">
                  <c:v>Año 1</c:v>
                </c:pt>
                <c:pt idx="1">
                  <c:v>Año 2 </c:v>
                </c:pt>
                <c:pt idx="2">
                  <c:v>Año 3</c:v>
                </c:pt>
                <c:pt idx="3">
                  <c:v>Año 4</c:v>
                </c:pt>
                <c:pt idx="4">
                  <c:v>Año 5</c:v>
                </c:pt>
              </c:strCache>
            </c:strRef>
          </c:cat>
          <c:val>
            <c:numRef>
              <c:f>'Estado Financiero'!$F$44:$J$44</c:f>
              <c:numCache>
                <c:formatCode>_(* #,##0_);_(* \(#,##0\);_(* "-"_);_(@_)</c:formatCode>
                <c:ptCount val="5"/>
                <c:pt idx="0">
                  <c:v>153489825.15882891</c:v>
                </c:pt>
                <c:pt idx="1">
                  <c:v>132236789.94156079</c:v>
                </c:pt>
                <c:pt idx="2">
                  <c:v>107583269.08952974</c:v>
                </c:pt>
                <c:pt idx="3">
                  <c:v>78985184.901173711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42-47F8-BDD8-2B6DDB8B77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0815312"/>
        <c:axId val="330814920"/>
      </c:lineChart>
      <c:catAx>
        <c:axId val="3308153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30814920"/>
        <c:crosses val="autoZero"/>
        <c:auto val="1"/>
        <c:lblAlgn val="ctr"/>
        <c:lblOffset val="100"/>
        <c:noMultiLvlLbl val="0"/>
      </c:catAx>
      <c:valAx>
        <c:axId val="330814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30815312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61575</xdr:colOff>
      <xdr:row>58</xdr:row>
      <xdr:rowOff>51956</xdr:rowOff>
    </xdr:from>
    <xdr:to>
      <xdr:col>13</xdr:col>
      <xdr:colOff>379074</xdr:colOff>
      <xdr:row>73</xdr:row>
      <xdr:rowOff>55997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418040</xdr:colOff>
      <xdr:row>11</xdr:row>
      <xdr:rowOff>169069</xdr:rowOff>
    </xdr:from>
    <xdr:to>
      <xdr:col>14</xdr:col>
      <xdr:colOff>560916</xdr:colOff>
      <xdr:row>26</xdr:row>
      <xdr:rowOff>139436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256525</xdr:colOff>
      <xdr:row>28</xdr:row>
      <xdr:rowOff>147204</xdr:rowOff>
    </xdr:from>
    <xdr:to>
      <xdr:col>14</xdr:col>
      <xdr:colOff>58328</xdr:colOff>
      <xdr:row>43</xdr:row>
      <xdr:rowOff>138737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171546</xdr:colOff>
      <xdr:row>31</xdr:row>
      <xdr:rowOff>98784</xdr:rowOff>
    </xdr:from>
    <xdr:to>
      <xdr:col>13</xdr:col>
      <xdr:colOff>171546</xdr:colOff>
      <xdr:row>42</xdr:row>
      <xdr:rowOff>77617</xdr:rowOff>
    </xdr:to>
    <xdr:cxnSp macro="">
      <xdr:nvCxnSpPr>
        <xdr:cNvPr id="11" name="Conector recto 10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CxnSpPr/>
      </xdr:nvCxnSpPr>
      <xdr:spPr>
        <a:xfrm flipV="1">
          <a:off x="12978341" y="6168807"/>
          <a:ext cx="0" cy="2065674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12</xdr:col>
      <xdr:colOff>509155</xdr:colOff>
      <xdr:row>62</xdr:row>
      <xdr:rowOff>66578</xdr:rowOff>
    </xdr:from>
    <xdr:to>
      <xdr:col>12</xdr:col>
      <xdr:colOff>509155</xdr:colOff>
      <xdr:row>73</xdr:row>
      <xdr:rowOff>59844</xdr:rowOff>
    </xdr:to>
    <xdr:cxnSp macro="">
      <xdr:nvCxnSpPr>
        <xdr:cNvPr id="12" name="Conector recto 11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CxnSpPr/>
      </xdr:nvCxnSpPr>
      <xdr:spPr>
        <a:xfrm flipV="1">
          <a:off x="11861223" y="11964169"/>
          <a:ext cx="0" cy="2071448"/>
        </a:xfrm>
        <a:prstGeom prst="line">
          <a:avLst/>
        </a:prstGeom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1</cdr:x>
      <cdr:y>0.26398</cdr:y>
    </cdr:from>
    <cdr:to>
      <cdr:x>1</cdr:x>
      <cdr:y>1</cdr:y>
    </cdr:to>
    <cdr:cxnSp macro="">
      <cdr:nvCxnSpPr>
        <cdr:cNvPr id="2" name="Conector recto 1">
          <a:extLst xmlns:a="http://schemas.openxmlformats.org/drawingml/2006/main">
            <a:ext uri="{FF2B5EF4-FFF2-40B4-BE49-F238E27FC236}">
              <a16:creationId xmlns:a16="http://schemas.microsoft.com/office/drawing/2014/main" id="{00000000-0008-0000-0200-000016000000}"/>
            </a:ext>
          </a:extLst>
        </cdr:cNvPr>
        <cdr:cNvCxnSpPr/>
      </cdr:nvCxnSpPr>
      <cdr:spPr>
        <a:xfrm xmlns:a="http://schemas.openxmlformats.org/drawingml/2006/main" flipV="1">
          <a:off x="17430100" y="11047507"/>
          <a:ext cx="0" cy="2071448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3">
          <a:schemeClr val="accent2"/>
        </a:lnRef>
        <a:fillRef xmlns:a="http://schemas.openxmlformats.org/drawingml/2006/main" idx="0">
          <a:schemeClr val="accent2"/>
        </a:fillRef>
        <a:effectRef xmlns:a="http://schemas.openxmlformats.org/drawingml/2006/main" idx="2">
          <a:schemeClr val="accent2"/>
        </a:effectRef>
        <a:fontRef xmlns:a="http://schemas.openxmlformats.org/drawingml/2006/main" idx="minor">
          <a:schemeClr val="tx1"/>
        </a:fontRef>
      </cdr:style>
    </cdr:cxn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air Mauricio Ortiz" refreshedDate="44626.670265509259" createdVersion="6" refreshedVersion="6" minRefreshableVersion="3" recordCount="35">
  <cacheSource type="worksheet">
    <worksheetSource ref="D22:Q57" sheet="DETALLE COSTOS"/>
  </cacheSource>
  <cacheFields count="14">
    <cacheField name="DEFINICION" numFmtId="0">
      <sharedItems containsBlank="1" count="5">
        <s v="Costos"/>
        <m/>
        <s v="Gastos Administrativos"/>
        <s v="DEFINICION"/>
        <s v="Gastos de Ventas"/>
      </sharedItems>
    </cacheField>
    <cacheField name="ENERO" numFmtId="41">
      <sharedItems containsMixedTypes="1" containsNumber="1" minValue="117172" maxValue="26458496"/>
    </cacheField>
    <cacheField name="FEBRERO" numFmtId="41">
      <sharedItems containsMixedTypes="1" containsNumber="1" minValue="0" maxValue="26258496"/>
    </cacheField>
    <cacheField name="MARZO" numFmtId="41">
      <sharedItems containsMixedTypes="1" containsNumber="1" minValue="117172" maxValue="26458496"/>
    </cacheField>
    <cacheField name="ABRIL" numFmtId="41">
      <sharedItems containsMixedTypes="1" containsNumber="1" minValue="0" maxValue="26258496"/>
    </cacheField>
    <cacheField name="MAYO" numFmtId="41">
      <sharedItems containsMixedTypes="1" containsNumber="1" minValue="117172" maxValue="26458496"/>
    </cacheField>
    <cacheField name="JUNIO" numFmtId="41">
      <sharedItems containsMixedTypes="1" containsNumber="1" minValue="0" maxValue="26258496"/>
    </cacheField>
    <cacheField name="JULIO" numFmtId="41">
      <sharedItems containsMixedTypes="1" containsNumber="1" minValue="117172" maxValue="26458496"/>
    </cacheField>
    <cacheField name="AGOSTO" numFmtId="41">
      <sharedItems containsMixedTypes="1" containsNumber="1" minValue="0" maxValue="26258496"/>
    </cacheField>
    <cacheField name="SEPTIEMBRE" numFmtId="41">
      <sharedItems containsMixedTypes="1" containsNumber="1" minValue="117172" maxValue="26458496"/>
    </cacheField>
    <cacheField name="OCTUBRE" numFmtId="41">
      <sharedItems containsMixedTypes="1" containsNumber="1" minValue="0" maxValue="26258496"/>
    </cacheField>
    <cacheField name="NOVIEMBRE" numFmtId="41">
      <sharedItems containsMixedTypes="1" containsNumber="1" minValue="117172" maxValue="26458496"/>
    </cacheField>
    <cacheField name="DICIEMBRE" numFmtId="41">
      <sharedItems containsMixedTypes="1" containsNumber="1" minValue="0" maxValue="26258496"/>
    </cacheField>
    <cacheField name="TOTAL AÑO 1" numFmtId="41">
      <sharedItems containsMixedTypes="1" containsNumber="1" minValue="1200000" maxValue="31630195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">
  <r>
    <x v="0"/>
    <n v="3500000"/>
    <n v="3000000"/>
    <n v="3000000"/>
    <n v="3000000"/>
    <n v="3000000"/>
    <n v="3000000"/>
    <n v="3000000"/>
    <n v="3000000"/>
    <n v="3000000"/>
    <n v="3000000"/>
    <n v="3000000"/>
    <n v="3000000"/>
    <n v="36500000"/>
  </r>
  <r>
    <x v="0"/>
    <n v="1800000"/>
    <n v="1800000"/>
    <n v="1800000"/>
    <n v="1800000"/>
    <n v="1800000"/>
    <n v="1800000"/>
    <n v="1800000"/>
    <n v="1800000"/>
    <n v="1800000"/>
    <n v="1800000"/>
    <n v="1800000"/>
    <n v="1800000"/>
    <n v="21600000"/>
  </r>
  <r>
    <x v="0"/>
    <n v="117172"/>
    <n v="117172"/>
    <n v="117172"/>
    <n v="117172"/>
    <n v="117172"/>
    <n v="117172"/>
    <n v="117172"/>
    <n v="117172"/>
    <n v="117172"/>
    <n v="117172"/>
    <n v="117172"/>
    <n v="117172"/>
    <n v="1406064"/>
  </r>
  <r>
    <x v="0"/>
    <n v="971210"/>
    <n v="971210"/>
    <n v="971210"/>
    <n v="971210"/>
    <n v="971210"/>
    <n v="971210"/>
    <n v="971210"/>
    <n v="971210"/>
    <n v="971210"/>
    <n v="971210"/>
    <n v="971210"/>
    <n v="971210"/>
    <n v="11654520"/>
  </r>
  <r>
    <x v="0"/>
    <n v="1156990"/>
    <n v="1156990"/>
    <n v="1156990"/>
    <n v="1156990"/>
    <n v="1156990"/>
    <n v="1156990"/>
    <n v="1156990"/>
    <n v="1156990"/>
    <n v="1156990"/>
    <n v="1156990"/>
    <n v="1156990"/>
    <n v="1156990"/>
    <n v="13883880"/>
  </r>
  <r>
    <x v="0"/>
    <n v="250000"/>
    <n v="250000"/>
    <n v="250000"/>
    <n v="250000"/>
    <n v="250000"/>
    <n v="250000"/>
    <n v="250000"/>
    <n v="250000"/>
    <n v="250000"/>
    <n v="250000"/>
    <n v="250000"/>
    <n v="250000"/>
    <n v="3000000"/>
  </r>
  <r>
    <x v="0"/>
    <n v="2000000"/>
    <n v="2000000"/>
    <n v="2000000"/>
    <n v="2000000"/>
    <n v="2000000"/>
    <n v="2000000"/>
    <n v="2000000"/>
    <n v="2000000"/>
    <n v="2000000"/>
    <n v="2000000"/>
    <n v="2000000"/>
    <n v="2000000"/>
    <n v="24000000"/>
  </r>
  <r>
    <x v="0"/>
    <n v="150000"/>
    <n v="150000"/>
    <n v="150000"/>
    <n v="150000"/>
    <n v="150000"/>
    <n v="150000"/>
    <n v="150000"/>
    <n v="150000"/>
    <n v="150000"/>
    <n v="150000"/>
    <n v="150000"/>
    <n v="150000"/>
    <n v="1800000"/>
  </r>
  <r>
    <x v="0"/>
    <n v="3000000"/>
    <n v="0"/>
    <n v="3000000"/>
    <n v="0"/>
    <n v="3000000"/>
    <n v="0"/>
    <n v="3000000"/>
    <n v="0"/>
    <n v="3000000"/>
    <n v="0"/>
    <n v="3000000"/>
    <n v="0"/>
    <n v="18000000"/>
  </r>
  <r>
    <x v="0"/>
    <n v="300000"/>
    <n v="300000"/>
    <n v="300000"/>
    <n v="300000"/>
    <n v="300000"/>
    <n v="300000"/>
    <n v="300000"/>
    <n v="300000"/>
    <n v="300000"/>
    <n v="300000"/>
    <n v="300000"/>
    <n v="300000"/>
    <n v="3600000"/>
  </r>
  <r>
    <x v="0"/>
    <n v="3000000"/>
    <n v="3000000"/>
    <n v="3000000"/>
    <n v="3000000"/>
    <n v="3000000"/>
    <n v="3000000"/>
    <n v="3000000"/>
    <n v="3000000"/>
    <n v="3000000"/>
    <n v="3000000"/>
    <n v="3000000"/>
    <n v="3000000"/>
    <n v="36000000"/>
  </r>
  <r>
    <x v="1"/>
    <n v="16245372"/>
    <n v="12745372"/>
    <n v="15745372"/>
    <n v="12745372"/>
    <n v="15745372"/>
    <n v="12745372"/>
    <n v="15745372"/>
    <n v="12745372"/>
    <n v="15745372"/>
    <n v="12745372"/>
    <n v="15745372"/>
    <n v="12745372"/>
    <n v="171444464"/>
  </r>
  <r>
    <x v="2"/>
    <n v="2500000"/>
    <n v="2500000"/>
    <n v="2500000"/>
    <n v="2500000"/>
    <n v="2500000"/>
    <n v="2500000"/>
    <n v="2500000"/>
    <n v="2500000"/>
    <n v="2500000"/>
    <n v="2500000"/>
    <n v="2500000"/>
    <n v="2500000"/>
    <n v="30000000"/>
  </r>
  <r>
    <x v="2"/>
    <n v="2000000"/>
    <n v="2000000"/>
    <n v="2000000"/>
    <n v="2000000"/>
    <n v="2000000"/>
    <n v="2000000"/>
    <n v="2000000"/>
    <n v="2000000"/>
    <n v="2000000"/>
    <n v="2000000"/>
    <n v="2000000"/>
    <n v="2000000"/>
    <n v="24000000"/>
  </r>
  <r>
    <x v="2"/>
    <n v="2000000"/>
    <n v="2000000"/>
    <n v="2000000"/>
    <n v="2000000"/>
    <n v="2000000"/>
    <n v="2000000"/>
    <n v="2000000"/>
    <n v="2000000"/>
    <n v="2000000"/>
    <n v="2000000"/>
    <n v="2000000"/>
    <n v="2000000"/>
    <n v="24000000"/>
  </r>
  <r>
    <x v="2"/>
    <n v="2500000"/>
    <n v="2500000"/>
    <n v="2500000"/>
    <n v="2500000"/>
    <n v="2500000"/>
    <n v="2500000"/>
    <n v="2500000"/>
    <n v="2500000"/>
    <n v="2500000"/>
    <n v="2500000"/>
    <n v="2500000"/>
    <n v="2500000"/>
    <n v="30000000"/>
  </r>
  <r>
    <x v="2"/>
    <n v="1300000"/>
    <n v="1300000"/>
    <n v="1300000"/>
    <n v="1300000"/>
    <n v="1300000"/>
    <n v="1300000"/>
    <n v="1300000"/>
    <n v="1300000"/>
    <n v="1300000"/>
    <n v="1300000"/>
    <n v="1300000"/>
    <n v="1300000"/>
    <n v="15600000"/>
  </r>
  <r>
    <x v="2"/>
    <n v="351516"/>
    <n v="351516"/>
    <n v="351516"/>
    <n v="351516"/>
    <n v="351516"/>
    <n v="351516"/>
    <n v="351516"/>
    <n v="351516"/>
    <n v="351516"/>
    <n v="351516"/>
    <n v="351516"/>
    <n v="351516"/>
    <n v="4218192"/>
  </r>
  <r>
    <x v="2"/>
    <n v="2248490"/>
    <n v="2248490"/>
    <n v="2248490"/>
    <n v="2248490"/>
    <n v="2248490"/>
    <n v="2248490"/>
    <n v="2248490"/>
    <n v="2248490"/>
    <n v="2248490"/>
    <n v="2248490"/>
    <n v="2248490"/>
    <n v="2248490"/>
    <n v="26981880"/>
  </r>
  <r>
    <x v="2"/>
    <n v="2248490"/>
    <n v="2248490"/>
    <n v="2248490"/>
    <n v="2248490"/>
    <n v="2248490"/>
    <n v="2248490"/>
    <n v="2248490"/>
    <n v="2248490"/>
    <n v="2248490"/>
    <n v="2248490"/>
    <n v="2248490"/>
    <n v="2248490"/>
    <n v="26981880"/>
  </r>
  <r>
    <x v="2"/>
    <n v="150000"/>
    <n v="150000"/>
    <n v="150000"/>
    <n v="150000"/>
    <n v="150000"/>
    <n v="150000"/>
    <n v="150000"/>
    <n v="150000"/>
    <n v="150000"/>
    <n v="150000"/>
    <n v="150000"/>
    <n v="150000"/>
    <n v="1800000"/>
  </r>
  <r>
    <x v="2"/>
    <n v="390000"/>
    <n v="390000"/>
    <n v="390000"/>
    <n v="390000"/>
    <n v="390000"/>
    <n v="390000"/>
    <n v="390000"/>
    <n v="390000"/>
    <n v="390000"/>
    <n v="390000"/>
    <n v="390000"/>
    <n v="390000"/>
    <n v="4680000"/>
  </r>
  <r>
    <x v="2"/>
    <n v="250000"/>
    <n v="250000"/>
    <n v="250000"/>
    <n v="250000"/>
    <n v="250000"/>
    <n v="250000"/>
    <n v="250000"/>
    <n v="250000"/>
    <n v="250000"/>
    <n v="250000"/>
    <n v="250000"/>
    <n v="250000"/>
    <n v="3000000"/>
  </r>
  <r>
    <x v="2"/>
    <n v="190000"/>
    <n v="190000"/>
    <n v="190000"/>
    <n v="190000"/>
    <n v="190000"/>
    <n v="190000"/>
    <n v="190000"/>
    <n v="190000"/>
    <n v="190000"/>
    <n v="190000"/>
    <n v="190000"/>
    <n v="190000"/>
    <n v="2280000"/>
  </r>
  <r>
    <x v="2"/>
    <n v="200000"/>
    <n v="0"/>
    <n v="200000"/>
    <n v="0"/>
    <n v="200000"/>
    <n v="0"/>
    <n v="200000"/>
    <n v="0"/>
    <n v="200000"/>
    <n v="0"/>
    <n v="200000"/>
    <n v="0"/>
    <n v="1200000"/>
  </r>
  <r>
    <x v="2"/>
    <n v="130000"/>
    <n v="130000"/>
    <n v="130000"/>
    <n v="130000"/>
    <n v="130000"/>
    <n v="130000"/>
    <n v="130000"/>
    <n v="130000"/>
    <n v="130000"/>
    <n v="130000"/>
    <n v="130000"/>
    <n v="130000"/>
    <n v="1560000"/>
  </r>
  <r>
    <x v="2"/>
    <n v="2000000"/>
    <n v="2000000"/>
    <n v="2000000"/>
    <n v="2000000"/>
    <n v="2000000"/>
    <n v="2000000"/>
    <n v="2000000"/>
    <n v="2000000"/>
    <n v="2000000"/>
    <n v="2000000"/>
    <n v="2000000"/>
    <n v="2000000"/>
    <n v="24000000"/>
  </r>
  <r>
    <x v="2"/>
    <n v="8000000"/>
    <n v="8000000"/>
    <n v="8000000"/>
    <n v="8000000"/>
    <n v="8000000"/>
    <n v="8000000"/>
    <n v="8000000"/>
    <n v="8000000"/>
    <n v="8000000"/>
    <n v="8000000"/>
    <n v="8000000"/>
    <n v="8000000"/>
    <n v="96000000"/>
  </r>
  <r>
    <x v="1"/>
    <n v="26458496"/>
    <n v="26258496"/>
    <n v="26458496"/>
    <n v="26258496"/>
    <n v="26458496"/>
    <n v="26258496"/>
    <n v="26458496"/>
    <n v="26258496"/>
    <n v="26458496"/>
    <n v="26258496"/>
    <n v="26458496"/>
    <n v="26258496"/>
    <n v="316301952"/>
  </r>
  <r>
    <x v="3"/>
    <s v="ENERO"/>
    <s v="FEBRERO"/>
    <s v="MARZO"/>
    <s v="ABRIL"/>
    <s v="MAYO"/>
    <s v="JUNIO"/>
    <s v="JULIO"/>
    <s v="AGOSTO"/>
    <s v="SEPTIEMBRE"/>
    <s v="OCTUBRE"/>
    <s v="NOVIEMBRE"/>
    <s v="DICIEMBRE"/>
    <s v="TOTAL AÑO 1"/>
  </r>
  <r>
    <x v="4"/>
    <n v="8076499.9999999981"/>
    <n v="8076499.9999999981"/>
    <n v="8076499.9999999981"/>
    <n v="8076499.9999999981"/>
    <n v="8076499.9999999981"/>
    <n v="8076499.9999999981"/>
    <n v="8076499.9999999981"/>
    <n v="8076499.9999999981"/>
    <n v="8076499.9999999981"/>
    <n v="8076499.9999999981"/>
    <n v="8076499.9999999981"/>
    <n v="8076499.9999999981"/>
    <n v="96917999.999999985"/>
  </r>
  <r>
    <x v="4"/>
    <n v="16645833.333333332"/>
    <n v="3000000"/>
    <n v="3000000"/>
    <n v="3000000"/>
    <n v="3000000"/>
    <n v="3000000"/>
    <n v="3000000"/>
    <n v="3000000"/>
    <n v="3000000"/>
    <n v="3000000"/>
    <n v="3000000"/>
    <n v="3000000"/>
    <n v="49645833.333333328"/>
  </r>
  <r>
    <x v="4"/>
    <n v="1500000"/>
    <n v="1000000"/>
    <n v="1000000"/>
    <n v="1000000"/>
    <n v="1000000"/>
    <n v="1000000"/>
    <n v="1000000"/>
    <n v="1000000"/>
    <n v="1000000"/>
    <n v="1000000"/>
    <n v="1000000"/>
    <n v="1000000"/>
    <n v="12500000"/>
  </r>
  <r>
    <x v="4"/>
    <n v="800000"/>
    <n v="600000"/>
    <n v="600000"/>
    <n v="600000"/>
    <n v="600000"/>
    <n v="600000"/>
    <n v="600000"/>
    <n v="600000"/>
    <n v="600000"/>
    <n v="600000"/>
    <n v="600000"/>
    <n v="600000"/>
    <n v="7400000"/>
  </r>
  <r>
    <x v="4"/>
    <n v="800000"/>
    <n v="700000"/>
    <n v="700000"/>
    <n v="700000"/>
    <n v="700000"/>
    <n v="700000"/>
    <n v="700000"/>
    <n v="700000"/>
    <n v="700000"/>
    <n v="700000"/>
    <n v="700000"/>
    <n v="700000"/>
    <n v="85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1" cacheId="7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B15:C19" firstHeaderRow="1" firstDataRow="1" firstDataCol="1"/>
  <pivotFields count="14">
    <pivotField axis="axisRow" showAll="0">
      <items count="6">
        <item x="0"/>
        <item x="2"/>
        <item x="4"/>
        <item h="1" x="3"/>
        <item h="1" x="1"/>
        <item t="default"/>
      </items>
    </pivotField>
    <pivotField numFmtId="41" showAll="0"/>
    <pivotField showAll="0"/>
    <pivotField numFmtId="41" showAll="0"/>
    <pivotField showAll="0"/>
    <pivotField numFmtId="41" showAll="0"/>
    <pivotField showAll="0"/>
    <pivotField numFmtId="41" showAll="0"/>
    <pivotField showAll="0"/>
    <pivotField numFmtId="41" showAll="0"/>
    <pivotField showAll="0"/>
    <pivotField numFmtId="41" showAll="0"/>
    <pivotField numFmtId="41" showAll="0"/>
    <pivotField dataField="1" numFmtId="41" showAll="0"/>
  </pivotFields>
  <rowFields count="1">
    <field x="0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Suma de TOTAL AÑO 1" fld="13" baseField="0" baseItem="0" numFmtId="41"/>
  </dataFields>
  <formats count="50">
    <format dxfId="49">
      <pivotArea type="all" dataOnly="0" outline="0" fieldPosition="0"/>
    </format>
    <format dxfId="48">
      <pivotArea outline="0" collapsedLevelsAreSubtotals="1" fieldPosition="0"/>
    </format>
    <format dxfId="47">
      <pivotArea field="0" type="button" dataOnly="0" labelOnly="1" outline="0" axis="axisRow" fieldPosition="0"/>
    </format>
    <format dxfId="46">
      <pivotArea dataOnly="0" labelOnly="1" outline="0" axis="axisValues" fieldPosition="0"/>
    </format>
    <format dxfId="45">
      <pivotArea dataOnly="0" labelOnly="1" fieldPosition="0">
        <references count="1">
          <reference field="0" count="0"/>
        </references>
      </pivotArea>
    </format>
    <format dxfId="44">
      <pivotArea dataOnly="0" labelOnly="1" grandRow="1" outline="0" fieldPosition="0"/>
    </format>
    <format dxfId="43">
      <pivotArea dataOnly="0" labelOnly="1" outline="0" axis="axisValues" fieldPosition="0"/>
    </format>
    <format dxfId="42">
      <pivotArea type="all" dataOnly="0" outline="0" fieldPosition="0"/>
    </format>
    <format dxfId="41">
      <pivotArea outline="0" collapsedLevelsAreSubtotals="1" fieldPosition="0"/>
    </format>
    <format dxfId="40">
      <pivotArea field="0" type="button" dataOnly="0" labelOnly="1" outline="0" axis="axisRow" fieldPosition="0"/>
    </format>
    <format dxfId="39">
      <pivotArea dataOnly="0" labelOnly="1" outline="0" axis="axisValues" fieldPosition="0"/>
    </format>
    <format dxfId="38">
      <pivotArea dataOnly="0" labelOnly="1" fieldPosition="0">
        <references count="1">
          <reference field="0" count="0"/>
        </references>
      </pivotArea>
    </format>
    <format dxfId="37">
      <pivotArea dataOnly="0" labelOnly="1" grandRow="1" outline="0" fieldPosition="0"/>
    </format>
    <format dxfId="36">
      <pivotArea dataOnly="0" labelOnly="1" outline="0" axis="axisValues" fieldPosition="0"/>
    </format>
    <format dxfId="35">
      <pivotArea type="all" dataOnly="0" outline="0" fieldPosition="0"/>
    </format>
    <format dxfId="34">
      <pivotArea outline="0" collapsedLevelsAreSubtotals="1" fieldPosition="0"/>
    </format>
    <format dxfId="33">
      <pivotArea field="0" type="button" dataOnly="0" labelOnly="1" outline="0" axis="axisRow" fieldPosition="0"/>
    </format>
    <format dxfId="32">
      <pivotArea dataOnly="0" labelOnly="1" outline="0" axis="axisValues" fieldPosition="0"/>
    </format>
    <format dxfId="31">
      <pivotArea dataOnly="0" labelOnly="1" fieldPosition="0">
        <references count="1">
          <reference field="0" count="0"/>
        </references>
      </pivotArea>
    </format>
    <format dxfId="30">
      <pivotArea dataOnly="0" labelOnly="1" grandRow="1" outline="0" fieldPosition="0"/>
    </format>
    <format dxfId="29">
      <pivotArea dataOnly="0" labelOnly="1" outline="0" axis="axisValues" fieldPosition="0"/>
    </format>
    <format dxfId="28">
      <pivotArea outline="0" collapsedLevelsAreSubtotals="1" fieldPosition="0"/>
    </format>
    <format dxfId="27">
      <pivotArea type="all" dataOnly="0" outline="0" fieldPosition="0"/>
    </format>
    <format dxfId="26">
      <pivotArea outline="0" collapsedLevelsAreSubtotals="1" fieldPosition="0"/>
    </format>
    <format dxfId="25">
      <pivotArea field="0" type="button" dataOnly="0" labelOnly="1" outline="0" axis="axisRow" fieldPosition="0"/>
    </format>
    <format dxfId="24">
      <pivotArea dataOnly="0" labelOnly="1" outline="0" axis="axisValues" fieldPosition="0"/>
    </format>
    <format dxfId="23">
      <pivotArea dataOnly="0" labelOnly="1" fieldPosition="0">
        <references count="1">
          <reference field="0" count="0"/>
        </references>
      </pivotArea>
    </format>
    <format dxfId="22">
      <pivotArea dataOnly="0" labelOnly="1" grandRow="1" outline="0" fieldPosition="0"/>
    </format>
    <format dxfId="21">
      <pivotArea dataOnly="0" labelOnly="1" outline="0" axis="axisValues" fieldPosition="0"/>
    </format>
    <format dxfId="20">
      <pivotArea type="all" dataOnly="0" outline="0" fieldPosition="0"/>
    </format>
    <format dxfId="19">
      <pivotArea outline="0" collapsedLevelsAreSubtotals="1" fieldPosition="0"/>
    </format>
    <format dxfId="18">
      <pivotArea field="0" type="button" dataOnly="0" labelOnly="1" outline="0" axis="axisRow" fieldPosition="0"/>
    </format>
    <format dxfId="17">
      <pivotArea dataOnly="0" labelOnly="1" outline="0" axis="axisValues" fieldPosition="0"/>
    </format>
    <format dxfId="16">
      <pivotArea dataOnly="0" labelOnly="1" fieldPosition="0">
        <references count="1">
          <reference field="0" count="0"/>
        </references>
      </pivotArea>
    </format>
    <format dxfId="15">
      <pivotArea dataOnly="0" labelOnly="1" grandRow="1" outline="0" fieldPosition="0"/>
    </format>
    <format dxfId="14">
      <pivotArea dataOnly="0" labelOnly="1" outline="0" axis="axisValues" fieldPosition="0"/>
    </format>
    <format dxfId="13">
      <pivotArea type="all" dataOnly="0" outline="0" fieldPosition="0"/>
    </format>
    <format dxfId="12">
      <pivotArea outline="0" collapsedLevelsAreSubtotals="1" fieldPosition="0"/>
    </format>
    <format dxfId="11">
      <pivotArea field="0" type="button" dataOnly="0" labelOnly="1" outline="0" axis="axisRow" fieldPosition="0"/>
    </format>
    <format dxfId="10">
      <pivotArea dataOnly="0" labelOnly="1" outline="0" axis="axisValues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dataOnly="0" labelOnly="1" grandRow="1" outline="0" fieldPosition="0"/>
    </format>
    <format dxfId="7">
      <pivotArea dataOnly="0" labelOnly="1" outline="0" axis="axisValues" fieldPosition="0"/>
    </format>
    <format dxfId="6">
      <pivotArea type="all" dataOnly="0" outline="0" fieldPosition="0"/>
    </format>
    <format dxfId="5">
      <pivotArea outline="0" collapsedLevelsAreSubtotals="1" fieldPosition="0"/>
    </format>
    <format dxfId="4">
      <pivotArea field="0" type="button" dataOnly="0" labelOnly="1" outline="0" axis="axisRow" fieldPosition="0"/>
    </format>
    <format dxfId="3">
      <pivotArea dataOnly="0" labelOnly="1" outline="0" axis="axisValues" fieldPosition="0"/>
    </format>
    <format dxfId="2">
      <pivotArea dataOnly="0" labelOnly="1" fieldPosition="0">
        <references count="1">
          <reference field="0" count="0"/>
        </references>
      </pivotArea>
    </format>
    <format dxfId="1">
      <pivotArea dataOnly="0" labelOnly="1" grandRow="1" outline="0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mintransporte.gov.co/descargar.php?idFile=4314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4" tint="-0.249977111117893"/>
  </sheetPr>
  <dimension ref="A1:S26"/>
  <sheetViews>
    <sheetView showGridLines="0" workbookViewId="0">
      <selection activeCell="F9" sqref="F9"/>
    </sheetView>
  </sheetViews>
  <sheetFormatPr baseColWidth="10" defaultRowHeight="14.25" x14ac:dyDescent="0.2"/>
  <cols>
    <col min="1" max="1" width="4" style="1" customWidth="1"/>
    <col min="2" max="2" width="1.85546875" style="1" customWidth="1"/>
    <col min="3" max="3" width="14" style="1" customWidth="1"/>
    <col min="4" max="4" width="11.42578125" style="1"/>
    <col min="5" max="5" width="12.5703125" style="1" bestFit="1" customWidth="1"/>
    <col min="6" max="6" width="13.7109375" style="1" customWidth="1"/>
    <col min="7" max="8" width="11.42578125" style="1"/>
    <col min="9" max="9" width="18.140625" style="1" customWidth="1"/>
    <col min="10" max="11" width="11.42578125" style="1"/>
    <col min="12" max="12" width="12.5703125" style="1" bestFit="1" customWidth="1"/>
    <col min="13" max="13" width="3" style="1" customWidth="1"/>
    <col min="14" max="14" width="4" style="1" customWidth="1"/>
    <col min="15" max="15" width="9.5703125" style="1" customWidth="1"/>
    <col min="16" max="16384" width="11.42578125" style="1"/>
  </cols>
  <sheetData>
    <row r="1" spans="2:19" ht="23.25" customHeight="1" thickBot="1" x14ac:dyDescent="0.35">
      <c r="B1" s="445" t="s">
        <v>202</v>
      </c>
      <c r="C1" s="446"/>
      <c r="D1" s="446"/>
      <c r="E1" s="446"/>
      <c r="F1" s="446"/>
      <c r="G1" s="446"/>
      <c r="H1" s="446"/>
      <c r="I1" s="446"/>
      <c r="J1" s="446"/>
      <c r="K1" s="446"/>
      <c r="L1" s="446"/>
      <c r="M1" s="447"/>
      <c r="P1" s="27"/>
      <c r="Q1" s="27"/>
      <c r="R1" s="27"/>
      <c r="S1" s="27"/>
    </row>
    <row r="2" spans="2:19" ht="32.25" customHeight="1" thickBot="1" x14ac:dyDescent="0.35">
      <c r="B2" s="448" t="s">
        <v>48</v>
      </c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50"/>
      <c r="N2" s="2"/>
      <c r="P2" s="27"/>
      <c r="Q2" s="27"/>
      <c r="R2" s="27"/>
      <c r="S2" s="27"/>
    </row>
    <row r="3" spans="2:19" ht="9" customHeight="1" thickBot="1" x14ac:dyDescent="0.35">
      <c r="B3" s="6"/>
      <c r="C3" s="7"/>
      <c r="D3" s="7"/>
      <c r="E3" s="7"/>
      <c r="F3" s="7"/>
      <c r="G3" s="7"/>
      <c r="H3" s="20"/>
      <c r="I3" s="21"/>
      <c r="J3" s="21"/>
      <c r="K3" s="21"/>
      <c r="L3" s="21"/>
      <c r="M3" s="22"/>
      <c r="N3" s="3"/>
      <c r="P3" s="27"/>
      <c r="Q3" s="27"/>
      <c r="R3" s="27"/>
      <c r="S3" s="27"/>
    </row>
    <row r="4" spans="2:19" ht="15" thickTop="1" x14ac:dyDescent="0.2">
      <c r="B4" s="8"/>
      <c r="C4" s="5"/>
      <c r="D4" s="5"/>
      <c r="E4" s="5"/>
      <c r="F4" s="5"/>
      <c r="G4" s="5"/>
      <c r="H4" s="23"/>
      <c r="I4" s="9"/>
      <c r="J4" s="9"/>
      <c r="K4" s="9"/>
      <c r="L4" s="9"/>
      <c r="M4" s="10"/>
      <c r="P4" s="27"/>
      <c r="Q4" s="27"/>
      <c r="R4" s="27"/>
      <c r="S4" s="27"/>
    </row>
    <row r="5" spans="2:19" ht="23.25" thickBot="1" x14ac:dyDescent="0.35">
      <c r="B5" s="8"/>
      <c r="C5" s="11" t="s">
        <v>22</v>
      </c>
      <c r="D5" s="5"/>
      <c r="E5" s="5"/>
      <c r="F5" s="5"/>
      <c r="G5" s="5"/>
      <c r="H5" s="8"/>
      <c r="I5" s="11" t="s">
        <v>49</v>
      </c>
      <c r="J5" s="5"/>
      <c r="K5" s="5"/>
      <c r="L5" s="5"/>
      <c r="M5" s="10"/>
      <c r="P5" s="27"/>
      <c r="Q5" s="27"/>
      <c r="R5" s="27"/>
      <c r="S5" s="27"/>
    </row>
    <row r="6" spans="2:19" ht="15" thickTop="1" x14ac:dyDescent="0.2">
      <c r="B6" s="8"/>
      <c r="C6" s="5" t="s">
        <v>53</v>
      </c>
      <c r="D6" s="5"/>
      <c r="E6" s="5"/>
      <c r="F6" s="5"/>
      <c r="G6" s="5"/>
      <c r="H6" s="8"/>
      <c r="I6" s="5"/>
      <c r="J6" s="5"/>
      <c r="K6" s="5"/>
      <c r="L6" s="5"/>
      <c r="M6" s="10"/>
      <c r="P6" s="27"/>
      <c r="Q6" s="27"/>
      <c r="R6" s="27"/>
      <c r="S6" s="27"/>
    </row>
    <row r="7" spans="2:19" x14ac:dyDescent="0.2">
      <c r="B7" s="8"/>
      <c r="C7" s="5" t="s">
        <v>57</v>
      </c>
      <c r="D7" s="5"/>
      <c r="E7" s="5"/>
      <c r="F7" s="12">
        <v>15000000</v>
      </c>
      <c r="G7" s="5"/>
      <c r="H7" s="8"/>
      <c r="I7" s="5" t="s">
        <v>51</v>
      </c>
      <c r="J7" s="5"/>
      <c r="K7" s="5"/>
      <c r="L7" s="12">
        <f>+'CAPITAL E INVERSION'!B41</f>
        <v>150000000</v>
      </c>
      <c r="M7" s="13"/>
      <c r="P7" s="27"/>
      <c r="Q7" s="27"/>
      <c r="R7" s="27"/>
      <c r="S7" s="27"/>
    </row>
    <row r="8" spans="2:19" x14ac:dyDescent="0.2">
      <c r="B8" s="8"/>
      <c r="C8" s="5" t="s">
        <v>33</v>
      </c>
      <c r="D8" s="5"/>
      <c r="E8" s="5"/>
      <c r="F8" s="12">
        <f>+'CAPITAL E INVERSION'!B41</f>
        <v>150000000</v>
      </c>
      <c r="G8" s="5"/>
      <c r="H8" s="8"/>
      <c r="I8" s="5"/>
      <c r="J8" s="5"/>
      <c r="K8" s="5"/>
      <c r="L8" s="5"/>
      <c r="M8" s="10"/>
      <c r="P8" s="27"/>
      <c r="Q8" s="27"/>
      <c r="R8" s="27"/>
      <c r="S8" s="27"/>
    </row>
    <row r="9" spans="2:19" ht="15" thickBot="1" x14ac:dyDescent="0.25">
      <c r="B9" s="8"/>
      <c r="C9" s="5" t="s">
        <v>54</v>
      </c>
      <c r="D9" s="5"/>
      <c r="E9" s="5"/>
      <c r="F9" s="12">
        <f>SUM(F7:F8)</f>
        <v>165000000</v>
      </c>
      <c r="G9" s="5"/>
      <c r="H9" s="8"/>
      <c r="I9" s="5" t="s">
        <v>61</v>
      </c>
      <c r="J9" s="5"/>
      <c r="K9" s="5"/>
      <c r="L9" s="14">
        <f>+L7</f>
        <v>150000000</v>
      </c>
      <c r="M9" s="13"/>
      <c r="P9" s="27"/>
      <c r="Q9" s="27"/>
      <c r="R9" s="27"/>
      <c r="S9" s="27"/>
    </row>
    <row r="10" spans="2:19" ht="15.75" thickTop="1" thickBot="1" x14ac:dyDescent="0.25">
      <c r="B10" s="8"/>
      <c r="C10" s="5"/>
      <c r="D10" s="5"/>
      <c r="E10" s="5"/>
      <c r="F10" s="5"/>
      <c r="G10" s="5"/>
      <c r="H10" s="8"/>
      <c r="I10" s="5"/>
      <c r="J10" s="5"/>
      <c r="K10" s="5"/>
      <c r="L10" s="5"/>
      <c r="M10" s="10"/>
      <c r="P10" s="27"/>
      <c r="Q10" s="27"/>
      <c r="R10" s="27"/>
      <c r="S10" s="27"/>
    </row>
    <row r="11" spans="2:19" x14ac:dyDescent="0.2">
      <c r="B11" s="8"/>
      <c r="C11" s="5" t="s">
        <v>55</v>
      </c>
      <c r="D11" s="5"/>
      <c r="E11" s="5"/>
      <c r="F11" s="5"/>
      <c r="G11" s="5"/>
      <c r="H11" s="24"/>
      <c r="I11" s="25"/>
      <c r="J11" s="25"/>
      <c r="K11" s="25"/>
      <c r="L11" s="25"/>
      <c r="M11" s="26"/>
      <c r="P11" s="27"/>
      <c r="Q11" s="27"/>
      <c r="R11" s="27"/>
      <c r="S11" s="27"/>
    </row>
    <row r="12" spans="2:19" ht="23.25" thickBot="1" x14ac:dyDescent="0.35">
      <c r="B12" s="8"/>
      <c r="C12" s="5" t="s">
        <v>56</v>
      </c>
      <c r="D12" s="5"/>
      <c r="E12" s="5"/>
      <c r="F12" s="12">
        <f>+'CAPITAL E INVERSION'!G9+'CAPITAL E INVERSION'!G16</f>
        <v>61698000</v>
      </c>
      <c r="G12" s="5"/>
      <c r="H12" s="8"/>
      <c r="I12" s="11" t="s">
        <v>50</v>
      </c>
      <c r="J12" s="5"/>
      <c r="K12" s="5"/>
      <c r="L12" s="5"/>
      <c r="M12" s="10"/>
      <c r="P12" s="27"/>
      <c r="Q12" s="27"/>
      <c r="R12" s="27"/>
      <c r="S12" s="27"/>
    </row>
    <row r="13" spans="2:19" ht="15" thickTop="1" x14ac:dyDescent="0.2">
      <c r="B13" s="8"/>
      <c r="C13" s="5"/>
      <c r="D13" s="5"/>
      <c r="E13" s="5"/>
      <c r="F13" s="5"/>
      <c r="G13" s="5"/>
      <c r="H13" s="8"/>
      <c r="I13" s="5"/>
      <c r="J13" s="5"/>
      <c r="K13" s="5"/>
      <c r="L13" s="5"/>
      <c r="M13" s="10"/>
      <c r="P13" s="27"/>
      <c r="Q13" s="27"/>
      <c r="R13" s="27"/>
      <c r="S13" s="27"/>
    </row>
    <row r="14" spans="2:19" x14ac:dyDescent="0.2">
      <c r="B14" s="8"/>
      <c r="C14" s="5" t="s">
        <v>60</v>
      </c>
      <c r="D14" s="5"/>
      <c r="E14" s="5"/>
      <c r="F14" s="12">
        <f>+'CAPITAL E INVERSION'!G21</f>
        <v>80000000</v>
      </c>
      <c r="G14" s="5"/>
      <c r="H14" s="8"/>
      <c r="I14" s="5" t="s">
        <v>52</v>
      </c>
      <c r="J14" s="5"/>
      <c r="K14" s="5"/>
      <c r="L14" s="12">
        <f>+F12+F14+F7</f>
        <v>156698000</v>
      </c>
      <c r="M14" s="13"/>
      <c r="P14" s="27"/>
      <c r="Q14" s="27"/>
      <c r="R14" s="27"/>
      <c r="S14" s="27"/>
    </row>
    <row r="15" spans="2:19" x14ac:dyDescent="0.2">
      <c r="B15" s="8"/>
      <c r="C15" s="5"/>
      <c r="D15" s="5"/>
      <c r="E15" s="5"/>
      <c r="F15" s="5"/>
      <c r="G15" s="5"/>
      <c r="H15" s="8"/>
      <c r="I15" s="5"/>
      <c r="J15" s="5"/>
      <c r="K15" s="5"/>
      <c r="L15" s="5"/>
      <c r="M15" s="10"/>
      <c r="P15" s="27"/>
      <c r="Q15" s="27"/>
      <c r="R15" s="27"/>
      <c r="S15" s="27"/>
    </row>
    <row r="16" spans="2:19" x14ac:dyDescent="0.2">
      <c r="B16" s="8"/>
      <c r="C16" s="5" t="s">
        <v>58</v>
      </c>
      <c r="D16" s="5"/>
      <c r="E16" s="5"/>
      <c r="F16" s="12">
        <f>+F12+F14</f>
        <v>141698000</v>
      </c>
      <c r="G16" s="5"/>
      <c r="H16" s="8"/>
      <c r="I16" s="5" t="s">
        <v>62</v>
      </c>
      <c r="J16" s="5"/>
      <c r="K16" s="5"/>
      <c r="L16" s="12">
        <f>+L14</f>
        <v>156698000</v>
      </c>
      <c r="M16" s="13"/>
      <c r="P16" s="27"/>
      <c r="Q16" s="27"/>
      <c r="R16" s="27"/>
      <c r="S16" s="27"/>
    </row>
    <row r="17" spans="1:19" x14ac:dyDescent="0.2">
      <c r="B17" s="8"/>
      <c r="C17" s="5"/>
      <c r="D17" s="5"/>
      <c r="E17" s="5"/>
      <c r="F17" s="5"/>
      <c r="G17" s="5"/>
      <c r="H17" s="8"/>
      <c r="I17" s="5"/>
      <c r="J17" s="5"/>
      <c r="K17" s="5"/>
      <c r="L17" s="5"/>
      <c r="M17" s="10"/>
      <c r="P17" s="27"/>
      <c r="Q17" s="27"/>
      <c r="R17" s="27"/>
      <c r="S17" s="27"/>
    </row>
    <row r="18" spans="1:19" x14ac:dyDescent="0.2">
      <c r="B18" s="8"/>
      <c r="C18" s="5"/>
      <c r="D18" s="5"/>
      <c r="E18" s="5"/>
      <c r="F18" s="5"/>
      <c r="G18" s="5"/>
      <c r="H18" s="8"/>
      <c r="I18" s="5"/>
      <c r="J18" s="5"/>
      <c r="K18" s="5"/>
      <c r="L18" s="5"/>
      <c r="M18" s="10"/>
      <c r="P18" s="27"/>
      <c r="Q18" s="27"/>
      <c r="R18" s="27"/>
      <c r="S18" s="27"/>
    </row>
    <row r="19" spans="1:19" ht="15" thickBot="1" x14ac:dyDescent="0.25">
      <c r="B19" s="15"/>
      <c r="C19" s="4" t="s">
        <v>59</v>
      </c>
      <c r="D19" s="4"/>
      <c r="E19" s="4"/>
      <c r="F19" s="14">
        <f>+F9+F16</f>
        <v>306698000</v>
      </c>
      <c r="G19" s="4"/>
      <c r="H19" s="15"/>
      <c r="I19" s="4" t="s">
        <v>63</v>
      </c>
      <c r="J19" s="4"/>
      <c r="K19" s="4"/>
      <c r="L19" s="14">
        <f>+L9+L16</f>
        <v>306698000</v>
      </c>
      <c r="M19" s="16"/>
      <c r="P19" s="27"/>
      <c r="Q19" s="27"/>
      <c r="R19" s="27"/>
      <c r="S19" s="27"/>
    </row>
    <row r="20" spans="1:19" ht="15.75" thickTop="1" thickBot="1" x14ac:dyDescent="0.25">
      <c r="B20" s="17"/>
      <c r="C20" s="18"/>
      <c r="D20" s="18"/>
      <c r="E20" s="18"/>
      <c r="F20" s="18"/>
      <c r="G20" s="18"/>
      <c r="H20" s="17"/>
      <c r="I20" s="18"/>
      <c r="J20" s="18"/>
      <c r="K20" s="18"/>
      <c r="L20" s="18"/>
      <c r="M20" s="19"/>
      <c r="P20" s="27"/>
      <c r="Q20" s="27"/>
      <c r="R20" s="27"/>
      <c r="S20" s="27"/>
    </row>
    <row r="21" spans="1:19" x14ac:dyDescent="0.2">
      <c r="P21" s="27"/>
      <c r="Q21" s="27"/>
      <c r="R21" s="27"/>
      <c r="S21" s="27"/>
    </row>
    <row r="22" spans="1:19" x14ac:dyDescent="0.2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</row>
    <row r="23" spans="1:19" x14ac:dyDescent="0.2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</row>
    <row r="24" spans="1:19" x14ac:dyDescent="0.2">
      <c r="A24" s="27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</row>
    <row r="25" spans="1:19" x14ac:dyDescent="0.2">
      <c r="A25" s="27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</row>
    <row r="26" spans="1:19" x14ac:dyDescent="0.2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</row>
  </sheetData>
  <mergeCells count="2">
    <mergeCell ref="B1:M1"/>
    <mergeCell ref="B2:M2"/>
  </mergeCells>
  <pageMargins left="0.7" right="0.7" top="0.75" bottom="0.75" header="0.3" footer="0.3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56"/>
  <sheetViews>
    <sheetView showGridLines="0" topLeftCell="A51" workbookViewId="0">
      <selection activeCell="E66" sqref="E66"/>
    </sheetView>
  </sheetViews>
  <sheetFormatPr baseColWidth="10" defaultRowHeight="15" x14ac:dyDescent="0.25"/>
  <cols>
    <col min="1" max="1" width="25" style="340" customWidth="1"/>
    <col min="2" max="2" width="24.28515625" style="340" customWidth="1"/>
    <col min="3" max="4" width="11.42578125" style="340"/>
    <col min="5" max="5" width="23.5703125" style="340" customWidth="1"/>
    <col min="6" max="8" width="11.42578125" style="340"/>
    <col min="9" max="9" width="14.5703125" style="340" customWidth="1"/>
    <col min="10" max="16384" width="11.42578125" style="340"/>
  </cols>
  <sheetData>
    <row r="1" spans="1:14" ht="21" thickBot="1" x14ac:dyDescent="0.35">
      <c r="A1" s="511" t="s">
        <v>366</v>
      </c>
      <c r="B1" s="512"/>
      <c r="C1" s="512"/>
      <c r="D1" s="512"/>
      <c r="E1" s="512"/>
      <c r="F1" s="512"/>
      <c r="G1" s="513"/>
      <c r="H1" s="502" t="s">
        <v>367</v>
      </c>
      <c r="I1" s="503"/>
      <c r="J1" s="503"/>
      <c r="K1" s="503"/>
      <c r="L1" s="503"/>
      <c r="M1" s="504"/>
      <c r="N1" s="378"/>
    </row>
    <row r="2" spans="1:14" x14ac:dyDescent="0.25">
      <c r="A2" s="509" t="s">
        <v>76</v>
      </c>
      <c r="B2" s="510"/>
      <c r="C2" s="379" t="str">
        <f>PROYECCIONES!G20</f>
        <v>Año 1</v>
      </c>
      <c r="D2" s="379" t="str">
        <f>PROYECCIONES!H20</f>
        <v xml:space="preserve">Año 2 </v>
      </c>
      <c r="E2" s="379" t="str">
        <f>PROYECCIONES!I20</f>
        <v>Año 3</v>
      </c>
      <c r="F2" s="379" t="str">
        <f>PROYECCIONES!J20</f>
        <v>Año 4</v>
      </c>
      <c r="G2" s="380" t="str">
        <f>PROYECCIONES!K20</f>
        <v>Año 5</v>
      </c>
      <c r="H2" s="381" t="s">
        <v>76</v>
      </c>
      <c r="I2" s="379" t="str">
        <f>PROYECCIONES!G20</f>
        <v>Año 1</v>
      </c>
      <c r="J2" s="379" t="str">
        <f>PROYECCIONES!H20</f>
        <v xml:space="preserve">Año 2 </v>
      </c>
      <c r="K2" s="379" t="str">
        <f>PROYECCIONES!I20</f>
        <v>Año 3</v>
      </c>
      <c r="L2" s="379" t="str">
        <f>PROYECCIONES!J20</f>
        <v>Año 4</v>
      </c>
      <c r="M2" s="380" t="str">
        <f>PROYECCIONES!K20</f>
        <v>Año 5</v>
      </c>
      <c r="N2" s="382"/>
    </row>
    <row r="3" spans="1:14" x14ac:dyDescent="0.25">
      <c r="A3" s="505" t="s">
        <v>77</v>
      </c>
      <c r="B3" s="506"/>
      <c r="C3" s="383">
        <v>1.4999999999999999E-2</v>
      </c>
      <c r="D3" s="383">
        <v>0.02</v>
      </c>
      <c r="E3" s="383">
        <v>2.5000000000000001E-2</v>
      </c>
      <c r="F3" s="383">
        <v>3.2000000000000001E-2</v>
      </c>
      <c r="G3" s="384">
        <v>3.3000000000000002E-2</v>
      </c>
      <c r="H3" s="385" t="s">
        <v>77</v>
      </c>
      <c r="I3" s="383">
        <v>0.01</v>
      </c>
      <c r="J3" s="383">
        <v>1.2999999999999999E-2</v>
      </c>
      <c r="K3" s="383">
        <v>0.02</v>
      </c>
      <c r="L3" s="383">
        <v>2.1999999999999999E-2</v>
      </c>
      <c r="M3" s="384">
        <v>2.3E-2</v>
      </c>
      <c r="N3" s="386"/>
    </row>
    <row r="4" spans="1:14" x14ac:dyDescent="0.25">
      <c r="A4" s="505" t="s">
        <v>78</v>
      </c>
      <c r="B4" s="506"/>
      <c r="C4" s="383">
        <v>0.01</v>
      </c>
      <c r="D4" s="383">
        <v>1.7999999999999999E-2</v>
      </c>
      <c r="E4" s="383">
        <v>3.2000000000000001E-2</v>
      </c>
      <c r="F4" s="383">
        <v>3.3000000000000002E-2</v>
      </c>
      <c r="G4" s="384">
        <v>3.7999999999999999E-2</v>
      </c>
      <c r="H4" s="385" t="s">
        <v>78</v>
      </c>
      <c r="I4" s="383">
        <v>0.04</v>
      </c>
      <c r="J4" s="383">
        <v>1.2E-2</v>
      </c>
      <c r="K4" s="383">
        <v>0.03</v>
      </c>
      <c r="L4" s="383">
        <v>0.03</v>
      </c>
      <c r="M4" s="384">
        <v>3.5000000000000003E-2</v>
      </c>
      <c r="N4" s="386"/>
    </row>
    <row r="5" spans="1:14" x14ac:dyDescent="0.25">
      <c r="A5" s="505" t="s">
        <v>368</v>
      </c>
      <c r="B5" s="506"/>
      <c r="C5" s="387">
        <v>5.0000000000000001E-3</v>
      </c>
      <c r="D5" s="387">
        <v>0.01</v>
      </c>
      <c r="E5" s="387">
        <v>1.0999999999999999E-2</v>
      </c>
      <c r="F5" s="387">
        <v>1.2E-2</v>
      </c>
      <c r="G5" s="388">
        <v>0.02</v>
      </c>
      <c r="H5" s="385" t="s">
        <v>369</v>
      </c>
      <c r="I5" s="387">
        <v>-0.05</v>
      </c>
      <c r="J5" s="387">
        <v>-0.02</v>
      </c>
      <c r="K5" s="387">
        <v>-0.05</v>
      </c>
      <c r="L5" s="387">
        <v>-0.06</v>
      </c>
      <c r="M5" s="388">
        <v>-0.04</v>
      </c>
      <c r="N5" s="389"/>
    </row>
    <row r="6" spans="1:14" ht="15.75" thickBot="1" x14ac:dyDescent="0.3">
      <c r="A6" s="507" t="s">
        <v>80</v>
      </c>
      <c r="B6" s="508"/>
      <c r="C6" s="390">
        <f>((1+C3)*(1+C4))-1</f>
        <v>2.5150000000000006E-2</v>
      </c>
      <c r="D6" s="390">
        <f>((1+D3)*(1+D4))-1</f>
        <v>3.835999999999995E-2</v>
      </c>
      <c r="E6" s="390">
        <f>((1+E3)*(1+E4))-1</f>
        <v>5.7799999999999851E-2</v>
      </c>
      <c r="F6" s="390">
        <f>((1+F3)*(1+F4))-1</f>
        <v>6.6055999999999893E-2</v>
      </c>
      <c r="G6" s="391">
        <f>((1+G3)*(1+G4))-1</f>
        <v>7.225400000000004E-2</v>
      </c>
      <c r="H6" s="392" t="s">
        <v>80</v>
      </c>
      <c r="I6" s="390">
        <f>((1+I3)*(1+I4))-1</f>
        <v>5.04E-2</v>
      </c>
      <c r="J6" s="390">
        <f>((1+J3)*(1+J4))-1</f>
        <v>2.5155999999999956E-2</v>
      </c>
      <c r="K6" s="390">
        <f>((1+K3)*(1+K4))-1</f>
        <v>5.0599999999999978E-2</v>
      </c>
      <c r="L6" s="390">
        <f>((1+L3)*(1+L4))-1</f>
        <v>5.2660000000000151E-2</v>
      </c>
      <c r="M6" s="391">
        <f>((1+M3)*(1+M4))-1</f>
        <v>5.8804999999999774E-2</v>
      </c>
      <c r="N6" s="393"/>
    </row>
    <row r="7" spans="1:14" ht="15.75" thickBot="1" x14ac:dyDescent="0.3">
      <c r="A7" s="382"/>
      <c r="B7" s="382"/>
      <c r="C7" s="393"/>
      <c r="D7" s="393"/>
      <c r="E7" s="393"/>
      <c r="F7" s="393"/>
      <c r="G7" s="393"/>
      <c r="H7" s="382"/>
      <c r="I7" s="393"/>
      <c r="J7" s="393"/>
      <c r="K7" s="393"/>
      <c r="L7" s="393"/>
      <c r="M7" s="393"/>
      <c r="N7" s="393"/>
    </row>
    <row r="8" spans="1:14" ht="21" thickBot="1" x14ac:dyDescent="0.35">
      <c r="A8" s="454" t="s">
        <v>68</v>
      </c>
      <c r="B8" s="455"/>
      <c r="C8" s="455"/>
      <c r="D8" s="455"/>
      <c r="E8" s="455"/>
      <c r="F8" s="456"/>
      <c r="G8" s="393"/>
      <c r="H8" s="382"/>
      <c r="I8" s="393"/>
      <c r="J8" s="393"/>
      <c r="K8" s="393"/>
      <c r="L8" s="393"/>
      <c r="M8" s="393"/>
      <c r="N8" s="393"/>
    </row>
    <row r="9" spans="1:14" x14ac:dyDescent="0.25">
      <c r="A9" s="381" t="s">
        <v>69</v>
      </c>
      <c r="B9" s="394" t="str">
        <f>+'CAPITAL E INVERSION'!AB21</f>
        <v>Año 1</v>
      </c>
      <c r="C9" s="394" t="str">
        <f>+'CAPITAL E INVERSION'!AC21</f>
        <v xml:space="preserve">Año 2 </v>
      </c>
      <c r="D9" s="394" t="str">
        <f>+'CAPITAL E INVERSION'!AD21</f>
        <v>Año 3</v>
      </c>
      <c r="E9" s="394" t="str">
        <f>+'CAPITAL E INVERSION'!AE21</f>
        <v>Año 4</v>
      </c>
      <c r="F9" s="395" t="str">
        <f>+'CAPITAL E INVERSION'!AF21</f>
        <v>Año 5</v>
      </c>
      <c r="G9" s="393"/>
      <c r="H9" s="382"/>
      <c r="I9" s="393"/>
      <c r="J9" s="393"/>
      <c r="K9" s="393"/>
      <c r="L9" s="393"/>
      <c r="M9" s="393"/>
      <c r="N9" s="393"/>
    </row>
    <row r="10" spans="1:14" ht="15.75" thickBot="1" x14ac:dyDescent="0.3">
      <c r="A10" s="392" t="s">
        <v>70</v>
      </c>
      <c r="B10" s="396">
        <v>0.15</v>
      </c>
      <c r="C10" s="396">
        <v>0.14000000000000001</v>
      </c>
      <c r="D10" s="396">
        <v>0.115</v>
      </c>
      <c r="E10" s="396">
        <v>0.12</v>
      </c>
      <c r="F10" s="397">
        <v>0.105</v>
      </c>
      <c r="G10" s="393"/>
      <c r="H10" s="382"/>
      <c r="I10" s="393"/>
      <c r="J10" s="393"/>
      <c r="K10" s="393"/>
      <c r="L10" s="393"/>
      <c r="M10" s="393"/>
      <c r="N10" s="393"/>
    </row>
    <row r="11" spans="1:14" x14ac:dyDescent="0.25">
      <c r="A11" s="382"/>
      <c r="B11" s="382"/>
      <c r="C11" s="393"/>
      <c r="D11" s="393"/>
      <c r="E11" s="393"/>
      <c r="F11" s="393"/>
      <c r="G11" s="393"/>
      <c r="H11" s="382"/>
      <c r="I11" s="393"/>
      <c r="J11" s="393"/>
      <c r="K11" s="393"/>
      <c r="L11" s="393"/>
      <c r="M11" s="393"/>
      <c r="N11" s="393"/>
    </row>
    <row r="12" spans="1:14" ht="15.75" thickBot="1" x14ac:dyDescent="0.3">
      <c r="A12" s="382"/>
      <c r="B12" s="382"/>
      <c r="C12" s="393"/>
      <c r="D12" s="393"/>
      <c r="E12" s="393"/>
      <c r="F12" s="393"/>
      <c r="G12" s="393"/>
      <c r="H12" s="382"/>
      <c r="I12" s="393"/>
      <c r="J12" s="393"/>
      <c r="K12" s="393"/>
      <c r="L12" s="393"/>
      <c r="M12" s="393"/>
      <c r="N12" s="393"/>
    </row>
    <row r="13" spans="1:14" x14ac:dyDescent="0.25">
      <c r="A13" s="460" t="s">
        <v>71</v>
      </c>
      <c r="B13" s="461"/>
      <c r="C13" s="461"/>
      <c r="D13" s="461"/>
      <c r="E13" s="461"/>
      <c r="F13" s="461"/>
      <c r="G13" s="461"/>
      <c r="H13" s="461"/>
      <c r="I13" s="461"/>
      <c r="J13" s="461"/>
      <c r="K13" s="461"/>
      <c r="L13" s="462"/>
    </row>
    <row r="14" spans="1:14" ht="18" customHeight="1" thickBot="1" x14ac:dyDescent="0.3">
      <c r="A14" s="463"/>
      <c r="B14" s="464"/>
      <c r="C14" s="464"/>
      <c r="D14" s="464"/>
      <c r="E14" s="464"/>
      <c r="F14" s="464"/>
      <c r="G14" s="464"/>
      <c r="H14" s="464"/>
      <c r="I14" s="464"/>
      <c r="J14" s="464"/>
      <c r="K14" s="464"/>
      <c r="L14" s="465"/>
    </row>
    <row r="15" spans="1:14" ht="18" customHeight="1" x14ac:dyDescent="0.3">
      <c r="A15" s="466" t="str">
        <f>+'Estado Financiero'!A3</f>
        <v>DM CARGO S.A.S</v>
      </c>
      <c r="B15" s="467"/>
      <c r="C15" s="467"/>
      <c r="D15" s="467"/>
      <c r="E15" s="467"/>
      <c r="F15" s="467"/>
      <c r="G15" s="467"/>
      <c r="H15" s="467"/>
      <c r="I15" s="467"/>
      <c r="J15" s="467"/>
      <c r="K15" s="467"/>
      <c r="L15" s="468"/>
    </row>
    <row r="16" spans="1:14" ht="18" customHeight="1" thickBot="1" x14ac:dyDescent="0.3">
      <c r="A16" s="469" t="s">
        <v>72</v>
      </c>
      <c r="B16" s="470"/>
      <c r="C16" s="470"/>
      <c r="D16" s="470"/>
      <c r="E16" s="470"/>
      <c r="F16" s="470"/>
      <c r="G16" s="470"/>
      <c r="H16" s="470"/>
      <c r="I16" s="470"/>
      <c r="J16" s="470"/>
      <c r="K16" s="470"/>
      <c r="L16" s="471"/>
    </row>
    <row r="17" spans="1:12" ht="18" customHeight="1" thickBot="1" x14ac:dyDescent="0.3">
      <c r="A17" s="472"/>
      <c r="B17" s="473"/>
      <c r="C17" s="473"/>
      <c r="D17" s="473"/>
      <c r="E17" s="473"/>
      <c r="F17" s="473"/>
      <c r="G17" s="473"/>
      <c r="H17" s="473"/>
      <c r="I17" s="473"/>
      <c r="J17" s="473"/>
      <c r="K17" s="473"/>
      <c r="L17" s="474"/>
    </row>
    <row r="18" spans="1:12" ht="18" customHeight="1" thickBot="1" x14ac:dyDescent="0.35">
      <c r="A18" s="478" t="s">
        <v>73</v>
      </c>
      <c r="B18" s="479"/>
      <c r="C18" s="479"/>
      <c r="D18" s="479"/>
      <c r="E18" s="479"/>
      <c r="F18" s="479"/>
      <c r="G18" s="479"/>
      <c r="H18" s="479"/>
      <c r="I18" s="479"/>
      <c r="J18" s="479"/>
      <c r="K18" s="479"/>
      <c r="L18" s="480"/>
    </row>
    <row r="19" spans="1:12" ht="18" customHeight="1" thickBot="1" x14ac:dyDescent="0.35">
      <c r="A19" s="398"/>
      <c r="B19" s="399"/>
      <c r="C19" s="399"/>
      <c r="D19" s="399"/>
      <c r="E19" s="399"/>
      <c r="F19" s="400"/>
      <c r="G19" s="481" t="s">
        <v>74</v>
      </c>
      <c r="H19" s="482"/>
      <c r="I19" s="482"/>
      <c r="J19" s="482"/>
      <c r="K19" s="483"/>
      <c r="L19" s="401"/>
    </row>
    <row r="20" spans="1:12" ht="18" customHeight="1" thickBot="1" x14ac:dyDescent="0.35">
      <c r="A20" s="484" t="s">
        <v>75</v>
      </c>
      <c r="B20" s="485"/>
      <c r="C20" s="485"/>
      <c r="D20" s="485"/>
      <c r="E20" s="486"/>
      <c r="F20" s="402" t="s">
        <v>206</v>
      </c>
      <c r="G20" s="403" t="s">
        <v>207</v>
      </c>
      <c r="H20" s="403" t="s">
        <v>208</v>
      </c>
      <c r="I20" s="403" t="s">
        <v>209</v>
      </c>
      <c r="J20" s="403" t="s">
        <v>210</v>
      </c>
      <c r="K20" s="404" t="s">
        <v>211</v>
      </c>
      <c r="L20" s="405"/>
    </row>
    <row r="21" spans="1:12" ht="18" customHeight="1" x14ac:dyDescent="0.3">
      <c r="A21" s="457" t="s">
        <v>442</v>
      </c>
      <c r="B21" s="458"/>
      <c r="C21" s="458"/>
      <c r="D21" s="458"/>
      <c r="E21" s="458"/>
      <c r="F21" s="406"/>
      <c r="G21" s="407">
        <f>+B31</f>
        <v>6800</v>
      </c>
      <c r="H21" s="408">
        <f>+G21*(1+0.1)</f>
        <v>7480.0000000000009</v>
      </c>
      <c r="I21" s="408">
        <f>+H21*(1+0.3)</f>
        <v>9724.0000000000018</v>
      </c>
      <c r="J21" s="408">
        <f>+I21*(1+0.3)</f>
        <v>12641.200000000003</v>
      </c>
      <c r="K21" s="409">
        <f>+J21*(1+0.35)</f>
        <v>17065.620000000006</v>
      </c>
      <c r="L21" s="410"/>
    </row>
    <row r="22" spans="1:12" ht="18" customHeight="1" x14ac:dyDescent="0.3">
      <c r="A22" s="490" t="s">
        <v>77</v>
      </c>
      <c r="B22" s="490"/>
      <c r="C22" s="490"/>
      <c r="D22" s="490"/>
      <c r="E22" s="491"/>
      <c r="F22" s="411"/>
      <c r="G22" s="155">
        <v>4.8000000000000001E-2</v>
      </c>
      <c r="H22" s="155">
        <v>3.6999999999999998E-2</v>
      </c>
      <c r="I22" s="155">
        <v>3.4000000000000002E-2</v>
      </c>
      <c r="J22" s="155">
        <v>3.3000000000000002E-2</v>
      </c>
      <c r="K22" s="412">
        <v>3.5999999999999997E-2</v>
      </c>
      <c r="L22" s="410"/>
    </row>
    <row r="23" spans="1:12" ht="22.5" x14ac:dyDescent="0.3">
      <c r="A23" s="492" t="s">
        <v>78</v>
      </c>
      <c r="B23" s="490"/>
      <c r="C23" s="490"/>
      <c r="D23" s="490"/>
      <c r="E23" s="491"/>
      <c r="F23" s="411"/>
      <c r="G23" s="155">
        <v>0.1</v>
      </c>
      <c r="H23" s="155">
        <v>3.5999999999999997E-2</v>
      </c>
      <c r="I23" s="155">
        <v>2.4E-2</v>
      </c>
      <c r="J23" s="155">
        <v>2.9000000000000001E-2</v>
      </c>
      <c r="K23" s="412">
        <v>2.8000000000000001E-2</v>
      </c>
      <c r="L23" s="410"/>
    </row>
    <row r="24" spans="1:12" ht="22.5" x14ac:dyDescent="0.3">
      <c r="A24" s="475" t="s">
        <v>79</v>
      </c>
      <c r="B24" s="476"/>
      <c r="C24" s="476"/>
      <c r="D24" s="476"/>
      <c r="E24" s="477"/>
      <c r="F24" s="413"/>
      <c r="G24" s="71">
        <f>((1+G22)*(1+G23))-1</f>
        <v>0.15280000000000005</v>
      </c>
      <c r="H24" s="71">
        <f>((1+H22)*(1+H23))-1</f>
        <v>7.4331999999999843E-2</v>
      </c>
      <c r="I24" s="71">
        <f>((1+I22)*(1+I23))-1</f>
        <v>5.8815999999999979E-2</v>
      </c>
      <c r="J24" s="71">
        <f>((1+J22)*(1+J23))-1</f>
        <v>6.295699999999993E-2</v>
      </c>
      <c r="K24" s="414">
        <f>((1+K22)*(1+K23))-1</f>
        <v>6.5007999999999955E-2</v>
      </c>
      <c r="L24" s="410"/>
    </row>
    <row r="25" spans="1:12" ht="22.5" x14ac:dyDescent="0.3">
      <c r="A25" s="475" t="s">
        <v>221</v>
      </c>
      <c r="B25" s="476"/>
      <c r="C25" s="476"/>
      <c r="D25" s="476"/>
      <c r="E25" s="477"/>
      <c r="F25" s="413"/>
      <c r="G25" s="71">
        <v>0.35</v>
      </c>
      <c r="H25" s="71">
        <v>0.35</v>
      </c>
      <c r="I25" s="71">
        <v>0.35</v>
      </c>
      <c r="J25" s="71">
        <v>0.35</v>
      </c>
      <c r="K25" s="414">
        <v>0.35</v>
      </c>
      <c r="L25" s="410"/>
    </row>
    <row r="26" spans="1:12" ht="23.25" thickBot="1" x14ac:dyDescent="0.35">
      <c r="A26" s="493" t="s">
        <v>80</v>
      </c>
      <c r="B26" s="494"/>
      <c r="C26" s="494"/>
      <c r="D26" s="494"/>
      <c r="E26" s="495"/>
      <c r="F26" s="415"/>
      <c r="G26" s="416">
        <f>CHOOSE($F$27,G24,PROYECCIONES!C6,PROYECCIONES!I6,G22)</f>
        <v>2.5150000000000006E-2</v>
      </c>
      <c r="H26" s="416">
        <f>CHOOSE($F$27,H24,PROYECCIONES!D6,PROYECCIONES!J6,H22)</f>
        <v>3.835999999999995E-2</v>
      </c>
      <c r="I26" s="416">
        <f>CHOOSE($F$27,I24,PROYECCIONES!E6,PROYECCIONES!K6,I22)</f>
        <v>5.7799999999999851E-2</v>
      </c>
      <c r="J26" s="416">
        <f>CHOOSE($F$27,J24,PROYECCIONES!F6,PROYECCIONES!L6,J22)</f>
        <v>6.6055999999999893E-2</v>
      </c>
      <c r="K26" s="417">
        <f>CHOOSE($F$27,K24,PROYECCIONES!G6,PROYECCIONES!M6,K22)</f>
        <v>7.225400000000004E-2</v>
      </c>
      <c r="L26" s="410"/>
    </row>
    <row r="27" spans="1:12" ht="23.25" thickBot="1" x14ac:dyDescent="0.35">
      <c r="A27" s="496" t="s">
        <v>81</v>
      </c>
      <c r="B27" s="497"/>
      <c r="C27" s="497"/>
      <c r="D27" s="497"/>
      <c r="E27" s="498"/>
      <c r="F27" s="418">
        <f>+INGRESOS!B2</f>
        <v>2</v>
      </c>
      <c r="G27" s="487" t="s">
        <v>82</v>
      </c>
      <c r="H27" s="488"/>
      <c r="I27" s="488"/>
      <c r="J27" s="488"/>
      <c r="K27" s="489"/>
      <c r="L27" s="419"/>
    </row>
    <row r="28" spans="1:12" ht="22.5" x14ac:dyDescent="0.3">
      <c r="A28" s="28"/>
      <c r="B28" s="28"/>
      <c r="C28" s="420"/>
      <c r="D28" s="421"/>
      <c r="E28" s="399"/>
    </row>
    <row r="29" spans="1:12" ht="26.25" x14ac:dyDescent="0.4">
      <c r="A29" s="422" t="s">
        <v>282</v>
      </c>
      <c r="B29" s="423" t="str">
        <f>IF(PROYECCIONES!F27=1,"OPTIMISTA",IF(PROYECCIONES!F27=2,"REALISTA","PESIMISTA"))</f>
        <v>REALISTA</v>
      </c>
      <c r="D29" s="424"/>
    </row>
    <row r="30" spans="1:12" ht="26.25" x14ac:dyDescent="0.4">
      <c r="A30" s="34"/>
      <c r="B30" s="425"/>
      <c r="D30" s="424"/>
      <c r="E30" s="28"/>
      <c r="F30" s="28"/>
      <c r="G30" s="28"/>
    </row>
    <row r="31" spans="1:12" ht="30" x14ac:dyDescent="0.25">
      <c r="A31" s="426" t="s">
        <v>293</v>
      </c>
      <c r="B31" s="427">
        <f>IF(B29="PESIMISTA",4500,IF(B29="REALISTA",6800,IF(B29="OPTIMISTA",9000,0)))</f>
        <v>6800</v>
      </c>
      <c r="D31" s="424"/>
      <c r="E31" s="28"/>
      <c r="F31" s="28"/>
      <c r="G31" s="28"/>
    </row>
    <row r="32" spans="1:12" ht="26.25" x14ac:dyDescent="0.4">
      <c r="A32" s="39"/>
      <c r="B32" s="30"/>
      <c r="D32" s="424"/>
      <c r="E32" s="428"/>
      <c r="F32" s="428"/>
      <c r="G32" s="428"/>
    </row>
    <row r="33" spans="1:9" x14ac:dyDescent="0.25">
      <c r="A33" s="40" t="s">
        <v>284</v>
      </c>
      <c r="B33" s="41">
        <f>ROUND((B31*50%),1)</f>
        <v>3400</v>
      </c>
      <c r="D33" s="424"/>
      <c r="E33" s="424"/>
      <c r="F33" s="424"/>
    </row>
    <row r="34" spans="1:9" x14ac:dyDescent="0.25">
      <c r="A34" s="40" t="s">
        <v>285</v>
      </c>
      <c r="B34" s="41">
        <f>ROUND((B31*30%),1)</f>
        <v>2040</v>
      </c>
      <c r="D34" s="424"/>
      <c r="E34" s="424"/>
      <c r="F34" s="424"/>
    </row>
    <row r="35" spans="1:9" x14ac:dyDescent="0.25">
      <c r="A35" s="40" t="s">
        <v>215</v>
      </c>
      <c r="B35" s="41">
        <f>ROUND((B31*20%),1)</f>
        <v>1360</v>
      </c>
      <c r="D35" s="424"/>
      <c r="E35" s="424"/>
      <c r="F35" s="424"/>
    </row>
    <row r="36" spans="1:9" x14ac:dyDescent="0.25">
      <c r="D36" s="424"/>
      <c r="E36" s="424"/>
      <c r="F36" s="424"/>
    </row>
    <row r="37" spans="1:9" x14ac:dyDescent="0.25">
      <c r="D37" s="424"/>
      <c r="E37" s="424"/>
      <c r="F37" s="424"/>
    </row>
    <row r="38" spans="1:9" x14ac:dyDescent="0.25">
      <c r="A38" s="452" t="s">
        <v>277</v>
      </c>
      <c r="B38" s="452"/>
      <c r="C38" s="452"/>
      <c r="E38" s="429" t="s">
        <v>313</v>
      </c>
      <c r="F38" s="171"/>
      <c r="G38" s="430">
        <v>1000000</v>
      </c>
      <c r="H38" s="171"/>
      <c r="I38" s="171"/>
    </row>
    <row r="39" spans="1:9" ht="57.75" x14ac:dyDescent="0.25">
      <c r="A39" s="453" t="s">
        <v>278</v>
      </c>
      <c r="B39" s="431" t="s">
        <v>229</v>
      </c>
      <c r="C39" s="110">
        <v>1000000</v>
      </c>
      <c r="E39" s="432" t="s">
        <v>349</v>
      </c>
      <c r="F39" s="69" t="s">
        <v>355</v>
      </c>
      <c r="G39" s="69" t="s">
        <v>356</v>
      </c>
      <c r="H39" s="69" t="s">
        <v>357</v>
      </c>
      <c r="I39" s="69" t="s">
        <v>358</v>
      </c>
    </row>
    <row r="40" spans="1:9" ht="30" x14ac:dyDescent="0.25">
      <c r="A40" s="453"/>
      <c r="B40" s="431" t="s">
        <v>230</v>
      </c>
      <c r="C40" s="110">
        <v>117172</v>
      </c>
      <c r="E40" s="433" t="s">
        <v>314</v>
      </c>
      <c r="F40" s="434">
        <f>+INGRESOS!G15</f>
        <v>1107833.3333333333</v>
      </c>
      <c r="G40" s="70">
        <f>+INGRESOS!L15</f>
        <v>7.0767263427109963</v>
      </c>
      <c r="H40" s="70">
        <f>F40*G40</f>
        <v>7839833.3333333312</v>
      </c>
      <c r="I40" s="434">
        <f>+H40</f>
        <v>7839833.3333333312</v>
      </c>
    </row>
    <row r="41" spans="1:9" x14ac:dyDescent="0.25">
      <c r="A41" s="451" t="s">
        <v>231</v>
      </c>
      <c r="B41" s="110" t="s">
        <v>232</v>
      </c>
      <c r="C41" s="435">
        <v>8.3299999999999999E-2</v>
      </c>
      <c r="E41" s="433" t="s">
        <v>291</v>
      </c>
      <c r="F41" s="70">
        <f>+INGRESOS!F17/12</f>
        <v>566.66666666666663</v>
      </c>
      <c r="G41" s="70">
        <f>+INGRESOS!L17</f>
        <v>299.99999999999994</v>
      </c>
      <c r="H41" s="70">
        <f>+F41*G41</f>
        <v>169999.99999999997</v>
      </c>
      <c r="I41" s="434">
        <f>+H41</f>
        <v>169999.99999999997</v>
      </c>
    </row>
    <row r="42" spans="1:9" x14ac:dyDescent="0.25">
      <c r="A42" s="451"/>
      <c r="B42" s="110" t="s">
        <v>233</v>
      </c>
      <c r="C42" s="111">
        <v>0.01</v>
      </c>
      <c r="E42" s="433" t="s">
        <v>214</v>
      </c>
      <c r="F42" s="75">
        <f>+INGRESOS!F19/12</f>
        <v>0.66666666666666663</v>
      </c>
      <c r="G42" s="70">
        <f>+INGRESOS!L19</f>
        <v>100000.00000000009</v>
      </c>
      <c r="H42" s="70">
        <f>+F42*G42</f>
        <v>66666.666666666715</v>
      </c>
      <c r="I42" s="434">
        <f>+H42</f>
        <v>66666.666666666715</v>
      </c>
    </row>
    <row r="43" spans="1:9" x14ac:dyDescent="0.25">
      <c r="A43" s="451"/>
      <c r="B43" s="110" t="s">
        <v>222</v>
      </c>
      <c r="C43" s="435">
        <v>4.1700000000000001E-2</v>
      </c>
      <c r="E43" s="110"/>
      <c r="F43" s="110"/>
      <c r="G43" s="110"/>
      <c r="H43" s="110"/>
      <c r="I43" s="335">
        <f>SUM(I40:I42)</f>
        <v>8076499.9999999981</v>
      </c>
    </row>
    <row r="44" spans="1:9" x14ac:dyDescent="0.25">
      <c r="A44" s="451"/>
      <c r="B44" s="110" t="s">
        <v>234</v>
      </c>
      <c r="C44" s="435">
        <v>8.3299999999999999E-2</v>
      </c>
      <c r="E44" s="436" t="s">
        <v>321</v>
      </c>
      <c r="F44" s="171"/>
      <c r="G44" s="437">
        <v>0.5</v>
      </c>
      <c r="H44" s="332"/>
      <c r="I44" s="332"/>
    </row>
    <row r="45" spans="1:9" ht="57.75" x14ac:dyDescent="0.25">
      <c r="A45" s="451"/>
      <c r="B45" s="110"/>
      <c r="C45" s="438">
        <f>SUM(C41:C44)</f>
        <v>0.21829999999999999</v>
      </c>
      <c r="E45" s="432" t="s">
        <v>349</v>
      </c>
      <c r="F45" s="69" t="s">
        <v>318</v>
      </c>
      <c r="G45" s="69" t="s">
        <v>356</v>
      </c>
      <c r="H45" s="69" t="s">
        <v>319</v>
      </c>
      <c r="I45" s="69" t="s">
        <v>320</v>
      </c>
    </row>
    <row r="46" spans="1:9" ht="30" x14ac:dyDescent="0.25">
      <c r="A46" s="459" t="s">
        <v>253</v>
      </c>
      <c r="B46" s="110" t="s">
        <v>235</v>
      </c>
      <c r="C46" s="111">
        <v>0.12</v>
      </c>
      <c r="E46" s="334" t="s">
        <v>351</v>
      </c>
      <c r="F46" s="110">
        <f>+F40</f>
        <v>1107833.3333333333</v>
      </c>
      <c r="G46" s="110">
        <v>15</v>
      </c>
      <c r="H46" s="70">
        <f>+F46*G46</f>
        <v>16617499.999999998</v>
      </c>
      <c r="I46" s="434">
        <f>+H46</f>
        <v>16617499.999999998</v>
      </c>
    </row>
    <row r="47" spans="1:9" ht="57.75" x14ac:dyDescent="0.25">
      <c r="A47" s="459"/>
      <c r="B47" s="110" t="s">
        <v>236</v>
      </c>
      <c r="C47" s="111">
        <v>0.04</v>
      </c>
      <c r="E47" s="432" t="s">
        <v>349</v>
      </c>
      <c r="F47" s="69" t="s">
        <v>359</v>
      </c>
      <c r="G47" s="69" t="s">
        <v>356</v>
      </c>
      <c r="H47" s="69" t="s">
        <v>353</v>
      </c>
      <c r="I47" s="69" t="s">
        <v>320</v>
      </c>
    </row>
    <row r="48" spans="1:9" x14ac:dyDescent="0.25">
      <c r="A48" s="459"/>
      <c r="B48" s="110" t="s">
        <v>237</v>
      </c>
      <c r="C48" s="435">
        <v>5.2199999999999998E-3</v>
      </c>
      <c r="E48" s="334" t="s">
        <v>350</v>
      </c>
      <c r="F48" s="110">
        <f>+INGRESOS!F17/12</f>
        <v>566.66666666666663</v>
      </c>
      <c r="G48" s="110">
        <v>50</v>
      </c>
      <c r="H48" s="70">
        <f>+F48*G48</f>
        <v>28333.333333333332</v>
      </c>
      <c r="I48" s="110">
        <f>+H48</f>
        <v>28333.333333333332</v>
      </c>
    </row>
    <row r="49" spans="1:9" x14ac:dyDescent="0.25">
      <c r="A49" s="459"/>
      <c r="B49" s="110"/>
      <c r="C49" s="438">
        <f>SUM(C46:C48)</f>
        <v>0.16522000000000001</v>
      </c>
      <c r="E49" s="432" t="s">
        <v>354</v>
      </c>
      <c r="F49" s="499"/>
      <c r="G49" s="500"/>
      <c r="H49" s="500"/>
      <c r="I49" s="501"/>
    </row>
    <row r="50" spans="1:9" x14ac:dyDescent="0.25">
      <c r="E50" s="439" t="s">
        <v>315</v>
      </c>
      <c r="F50" s="88">
        <v>3</v>
      </c>
      <c r="G50" s="110">
        <v>500000</v>
      </c>
      <c r="H50" s="434">
        <f>(F50*G50)*12</f>
        <v>18000000</v>
      </c>
      <c r="I50" s="434">
        <f>+H50/12</f>
        <v>1500000</v>
      </c>
    </row>
    <row r="51" spans="1:9" x14ac:dyDescent="0.25">
      <c r="E51" s="439" t="s">
        <v>316</v>
      </c>
      <c r="F51" s="88">
        <v>2</v>
      </c>
      <c r="G51" s="110">
        <v>400000</v>
      </c>
      <c r="H51" s="434">
        <f>(F51*G51)*12</f>
        <v>9600000</v>
      </c>
      <c r="I51" s="434">
        <f>+H51/12</f>
        <v>800000</v>
      </c>
    </row>
    <row r="52" spans="1:9" x14ac:dyDescent="0.25">
      <c r="E52" s="439" t="s">
        <v>317</v>
      </c>
      <c r="F52" s="88">
        <v>2</v>
      </c>
      <c r="G52" s="110">
        <v>400000</v>
      </c>
      <c r="H52" s="434">
        <f>(F52*G52)*12</f>
        <v>9600000</v>
      </c>
      <c r="I52" s="434">
        <f>+H52/12</f>
        <v>800000</v>
      </c>
    </row>
    <row r="53" spans="1:9" x14ac:dyDescent="0.25">
      <c r="E53" s="440" t="s">
        <v>360</v>
      </c>
      <c r="F53" s="441"/>
      <c r="G53" s="441"/>
      <c r="H53" s="441"/>
      <c r="I53" s="441">
        <f>+I43+I46+I48+I50+I51+I52</f>
        <v>27822333.333333328</v>
      </c>
    </row>
    <row r="54" spans="1:9" x14ac:dyDescent="0.25">
      <c r="E54" s="440" t="s">
        <v>361</v>
      </c>
      <c r="F54" s="441"/>
      <c r="G54" s="441"/>
      <c r="H54" s="441"/>
      <c r="I54" s="441">
        <f>+I53/F46</f>
        <v>25.11418685121107</v>
      </c>
    </row>
    <row r="55" spans="1:9" x14ac:dyDescent="0.25">
      <c r="E55" s="440" t="s">
        <v>362</v>
      </c>
      <c r="F55" s="441"/>
      <c r="G55" s="441"/>
      <c r="H55" s="441"/>
      <c r="I55" s="441">
        <f>+'DETALLE COSTOS'!Q51</f>
        <v>316301952</v>
      </c>
    </row>
    <row r="56" spans="1:9" x14ac:dyDescent="0.25">
      <c r="E56" s="440" t="s">
        <v>363</v>
      </c>
      <c r="F56" s="441"/>
      <c r="G56" s="441"/>
      <c r="H56" s="441"/>
      <c r="I56" s="441">
        <f>+I55/INGRESOS!F15</f>
        <v>23.792835264028884</v>
      </c>
    </row>
  </sheetData>
  <mergeCells count="28">
    <mergeCell ref="H1:M1"/>
    <mergeCell ref="A3:B3"/>
    <mergeCell ref="A4:B4"/>
    <mergeCell ref="A5:B5"/>
    <mergeCell ref="A6:B6"/>
    <mergeCell ref="A2:B2"/>
    <mergeCell ref="A1:G1"/>
    <mergeCell ref="A46:A49"/>
    <mergeCell ref="A13:L14"/>
    <mergeCell ref="A15:L15"/>
    <mergeCell ref="A16:L16"/>
    <mergeCell ref="A17:L17"/>
    <mergeCell ref="A25:E25"/>
    <mergeCell ref="A18:L18"/>
    <mergeCell ref="G19:K19"/>
    <mergeCell ref="A20:E20"/>
    <mergeCell ref="G27:K27"/>
    <mergeCell ref="A22:E22"/>
    <mergeCell ref="A23:E23"/>
    <mergeCell ref="A24:E24"/>
    <mergeCell ref="A26:E26"/>
    <mergeCell ref="A27:E27"/>
    <mergeCell ref="F49:I49"/>
    <mergeCell ref="A41:A45"/>
    <mergeCell ref="A38:C38"/>
    <mergeCell ref="A39:A40"/>
    <mergeCell ref="A8:F8"/>
    <mergeCell ref="A21:E21"/>
  </mergeCells>
  <conditionalFormatting sqref="B29">
    <cfRule type="containsText" dxfId="55" priority="1" operator="containsText" text="OPTIMISTA">
      <formula>NOT(ISERROR(SEARCH("OPTIMISTA",B29)))</formula>
    </cfRule>
    <cfRule type="containsText" dxfId="54" priority="2" operator="containsText" text="REALISTA">
      <formula>NOT(ISERROR(SEARCH("REALISTA",B29)))</formula>
    </cfRule>
    <cfRule type="containsText" dxfId="53" priority="3" operator="containsText" text="PESIMISTA">
      <formula>NOT(ISERROR(SEARCH("PESIMISTA",B29)))</formula>
    </cfRule>
  </conditionalFormatting>
  <dataValidations count="1">
    <dataValidation type="list" allowBlank="1" showInputMessage="1" showErrorMessage="1" sqref="F27">
      <formula1>"1,2,3"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N55"/>
  <sheetViews>
    <sheetView showGridLines="0" topLeftCell="A48" zoomScaleNormal="100" workbookViewId="0">
      <selection activeCell="A48" sqref="A48"/>
    </sheetView>
  </sheetViews>
  <sheetFormatPr baseColWidth="10" defaultRowHeight="24" customHeight="1" x14ac:dyDescent="0.25"/>
  <cols>
    <col min="1" max="1" width="22.140625" style="28" customWidth="1"/>
    <col min="2" max="2" width="26" style="28" customWidth="1"/>
    <col min="3" max="3" width="17.28515625" style="28" customWidth="1"/>
    <col min="4" max="4" width="16.28515625" style="28" customWidth="1"/>
    <col min="5" max="5" width="16.42578125" style="28" customWidth="1"/>
    <col min="6" max="6" width="17" style="28" customWidth="1"/>
    <col min="7" max="7" width="17.28515625" style="28" customWidth="1"/>
    <col min="8" max="8" width="19.5703125" style="28" bestFit="1" customWidth="1"/>
    <col min="9" max="9" width="19.5703125" style="28" customWidth="1"/>
    <col min="10" max="10" width="18.140625" style="28" customWidth="1"/>
    <col min="11" max="11" width="19.7109375" style="28" bestFit="1" customWidth="1"/>
    <col min="12" max="12" width="15.85546875" style="28" customWidth="1"/>
    <col min="13" max="13" width="19" style="28" customWidth="1"/>
    <col min="14" max="14" width="22.5703125" style="28" customWidth="1"/>
    <col min="15" max="18" width="19.5703125" style="28" customWidth="1"/>
    <col min="19" max="19" width="12.7109375" style="28" bestFit="1" customWidth="1"/>
    <col min="20" max="20" width="21.42578125" style="28" customWidth="1"/>
    <col min="21" max="21" width="12.7109375" style="28" bestFit="1" customWidth="1"/>
    <col min="22" max="26" width="11.42578125" style="28"/>
    <col min="27" max="27" width="18.28515625" style="28" customWidth="1"/>
    <col min="28" max="28" width="22.7109375" style="28" customWidth="1"/>
    <col min="29" max="29" width="18.28515625" style="29" customWidth="1"/>
    <col min="30" max="30" width="21.5703125" style="29" customWidth="1"/>
    <col min="31" max="31" width="15.85546875" style="28" customWidth="1"/>
    <col min="32" max="32" width="14" style="28" customWidth="1"/>
    <col min="33" max="33" width="13.5703125" style="28" bestFit="1" customWidth="1"/>
    <col min="34" max="34" width="14.140625" style="28" customWidth="1"/>
    <col min="35" max="35" width="19.28515625" style="28" bestFit="1" customWidth="1"/>
    <col min="36" max="36" width="12.5703125" style="28" bestFit="1" customWidth="1"/>
    <col min="37" max="37" width="13.85546875" style="28" bestFit="1" customWidth="1"/>
    <col min="38" max="16384" width="11.42578125" style="28"/>
  </cols>
  <sheetData>
    <row r="1" spans="1:40" ht="24" customHeight="1" x14ac:dyDescent="0.4">
      <c r="A1" s="520" t="s">
        <v>212</v>
      </c>
      <c r="B1" s="520"/>
      <c r="C1" s="520"/>
      <c r="D1" s="520"/>
      <c r="E1" s="520"/>
      <c r="F1" s="520"/>
      <c r="AH1" s="29"/>
      <c r="AI1" s="29"/>
    </row>
    <row r="2" spans="1:40" ht="24" customHeight="1" x14ac:dyDescent="0.4">
      <c r="A2" s="30"/>
      <c r="B2" s="30">
        <v>2</v>
      </c>
      <c r="C2" s="30"/>
      <c r="D2" s="30"/>
      <c r="E2" s="30"/>
      <c r="F2" s="30"/>
      <c r="M2" s="31"/>
      <c r="AH2" s="29"/>
      <c r="AI2" s="29"/>
    </row>
    <row r="3" spans="1:40" ht="24" customHeight="1" x14ac:dyDescent="0.4">
      <c r="A3" s="32" t="s">
        <v>282</v>
      </c>
      <c r="B3" s="33" t="str">
        <f>IF(B2=1,"OPTIMISTA",IF(B2=2,"REALISTA","PESIMISTA"))</f>
        <v>REALISTA</v>
      </c>
      <c r="C3" s="34"/>
      <c r="E3" s="30"/>
      <c r="F3" s="30"/>
      <c r="M3" s="31"/>
      <c r="AH3" s="29"/>
      <c r="AI3" s="29"/>
    </row>
    <row r="4" spans="1:40" ht="16.5" customHeight="1" x14ac:dyDescent="0.4">
      <c r="A4" s="34"/>
      <c r="B4" s="35" t="s">
        <v>36</v>
      </c>
      <c r="C4" s="34"/>
      <c r="E4" s="30"/>
      <c r="F4" s="30"/>
      <c r="M4" s="31"/>
      <c r="AK4" s="29"/>
      <c r="AL4" s="29"/>
    </row>
    <row r="5" spans="1:40" ht="18.75" customHeight="1" x14ac:dyDescent="0.4">
      <c r="A5" s="36" t="s">
        <v>293</v>
      </c>
      <c r="B5" s="37">
        <f>IF(B3="PESIMISTA",4500,IF(B3="REALISTA",6800,IF(B3="OPTIMISTA",9000,0)))</f>
        <v>6800</v>
      </c>
      <c r="C5" s="38"/>
      <c r="D5" s="30"/>
      <c r="E5" s="30"/>
      <c r="M5" s="31"/>
      <c r="AI5" s="29"/>
      <c r="AJ5" s="29"/>
    </row>
    <row r="6" spans="1:40" ht="15" customHeight="1" x14ac:dyDescent="0.4">
      <c r="A6" s="39"/>
      <c r="B6" s="30"/>
      <c r="C6" s="30"/>
      <c r="M6" s="31"/>
      <c r="X6" s="29"/>
      <c r="Y6" s="29"/>
      <c r="AC6" s="28"/>
      <c r="AD6" s="28"/>
    </row>
    <row r="7" spans="1:40" ht="18.75" customHeight="1" x14ac:dyDescent="0.4">
      <c r="A7" s="40" t="s">
        <v>284</v>
      </c>
      <c r="B7" s="41">
        <f>ROUND((B5*50%),1)</f>
        <v>3400</v>
      </c>
      <c r="C7" s="42"/>
      <c r="D7" s="42"/>
      <c r="E7" s="30"/>
      <c r="M7" s="31"/>
      <c r="O7" s="43"/>
      <c r="AC7" s="28"/>
      <c r="AD7" s="28"/>
      <c r="AI7" s="29"/>
      <c r="AJ7" s="29"/>
    </row>
    <row r="8" spans="1:40" ht="15" customHeight="1" x14ac:dyDescent="0.4">
      <c r="A8" s="40" t="s">
        <v>285</v>
      </c>
      <c r="B8" s="41">
        <f>ROUND((B5*30%),1)</f>
        <v>2040</v>
      </c>
      <c r="C8" s="42"/>
      <c r="D8" s="42"/>
      <c r="E8" s="30"/>
      <c r="F8" s="30"/>
      <c r="M8" s="31"/>
      <c r="AC8" s="28"/>
      <c r="AD8" s="28"/>
      <c r="AJ8" s="29"/>
      <c r="AK8" s="29"/>
    </row>
    <row r="9" spans="1:40" ht="15" customHeight="1" x14ac:dyDescent="0.4">
      <c r="A9" s="40" t="s">
        <v>215</v>
      </c>
      <c r="B9" s="41">
        <f>ROUND((B5*20%),1)</f>
        <v>1360</v>
      </c>
      <c r="C9" s="42"/>
      <c r="D9" s="42"/>
      <c r="E9" s="30"/>
      <c r="F9" s="30"/>
      <c r="M9" s="31"/>
      <c r="AC9" s="28"/>
      <c r="AD9" s="28"/>
      <c r="AJ9" s="29"/>
      <c r="AK9" s="29"/>
    </row>
    <row r="10" spans="1:40" ht="31.5" customHeight="1" x14ac:dyDescent="0.4">
      <c r="E10" s="44"/>
      <c r="G10" s="45"/>
      <c r="H10" s="42"/>
      <c r="I10" s="42"/>
      <c r="J10" s="42"/>
      <c r="K10" s="30"/>
      <c r="L10" s="30"/>
      <c r="M10" s="31"/>
      <c r="AC10" s="28"/>
      <c r="AD10" s="28"/>
      <c r="AI10" s="29"/>
      <c r="AJ10" s="29"/>
    </row>
    <row r="11" spans="1:40" ht="27.75" customHeight="1" x14ac:dyDescent="0.25">
      <c r="A11" s="46" t="s">
        <v>297</v>
      </c>
      <c r="B11" s="46" t="s">
        <v>283</v>
      </c>
      <c r="C11" s="46" t="s">
        <v>290</v>
      </c>
      <c r="D11" s="46" t="s">
        <v>292</v>
      </c>
      <c r="E11" s="46" t="s">
        <v>288</v>
      </c>
      <c r="F11" s="46" t="s">
        <v>289</v>
      </c>
      <c r="G11" s="46" t="s">
        <v>294</v>
      </c>
      <c r="H11" s="46" t="s">
        <v>216</v>
      </c>
      <c r="I11" s="46" t="s">
        <v>312</v>
      </c>
      <c r="J11" s="46" t="s">
        <v>295</v>
      </c>
      <c r="K11" s="46" t="s">
        <v>296</v>
      </c>
      <c r="L11" s="46" t="s">
        <v>356</v>
      </c>
      <c r="M11" s="31"/>
      <c r="AC11" s="28"/>
      <c r="AD11" s="28"/>
      <c r="AI11" s="29"/>
      <c r="AJ11" s="29"/>
    </row>
    <row r="12" spans="1:40" ht="19.5" customHeight="1" x14ac:dyDescent="0.25">
      <c r="A12" s="521" t="s">
        <v>298</v>
      </c>
      <c r="B12" s="47" t="s">
        <v>284</v>
      </c>
      <c r="C12" s="48">
        <f>+B7</f>
        <v>3400</v>
      </c>
      <c r="D12" s="40">
        <v>5</v>
      </c>
      <c r="E12" s="49">
        <v>250</v>
      </c>
      <c r="F12" s="41">
        <f>+C12*D12*E12</f>
        <v>4250000</v>
      </c>
      <c r="G12" s="50">
        <f>+F12/$F$15</f>
        <v>0.31969309462915602</v>
      </c>
      <c r="H12" s="51">
        <v>50</v>
      </c>
      <c r="I12" s="41">
        <f>+H12*G12</f>
        <v>15.9846547314578</v>
      </c>
      <c r="J12" s="52">
        <f>+F12*H12</f>
        <v>212500000</v>
      </c>
      <c r="K12" s="41">
        <f>+J12/12</f>
        <v>17708333.333333332</v>
      </c>
      <c r="L12" s="41"/>
      <c r="M12" s="31"/>
      <c r="AC12" s="28"/>
      <c r="AD12" s="28"/>
      <c r="AI12" s="29"/>
      <c r="AJ12" s="29"/>
    </row>
    <row r="13" spans="1:40" ht="19.5" customHeight="1" x14ac:dyDescent="0.25">
      <c r="A13" s="522"/>
      <c r="B13" s="47" t="s">
        <v>285</v>
      </c>
      <c r="C13" s="48">
        <f>+B8</f>
        <v>2040</v>
      </c>
      <c r="D13" s="40">
        <v>6</v>
      </c>
      <c r="E13" s="49">
        <v>350</v>
      </c>
      <c r="F13" s="41">
        <f>+C13*D13*E13</f>
        <v>4284000</v>
      </c>
      <c r="G13" s="50">
        <f>+F13/$F$15</f>
        <v>0.32225063938618925</v>
      </c>
      <c r="H13" s="51">
        <v>70</v>
      </c>
      <c r="I13" s="41">
        <f>+H13*G13</f>
        <v>22.557544757033249</v>
      </c>
      <c r="J13" s="52">
        <f>+F13*H13</f>
        <v>299880000</v>
      </c>
      <c r="K13" s="41">
        <f>+J13/12</f>
        <v>24990000</v>
      </c>
      <c r="L13" s="41"/>
      <c r="M13" s="31"/>
      <c r="AC13" s="28"/>
      <c r="AD13" s="28"/>
      <c r="AE13" s="29"/>
      <c r="AF13" s="29"/>
    </row>
    <row r="14" spans="1:40" ht="19.5" customHeight="1" x14ac:dyDescent="0.25">
      <c r="A14" s="522"/>
      <c r="B14" s="47" t="s">
        <v>215</v>
      </c>
      <c r="C14" s="48">
        <f>+B9</f>
        <v>1360</v>
      </c>
      <c r="D14" s="40">
        <v>7</v>
      </c>
      <c r="E14" s="49">
        <v>500</v>
      </c>
      <c r="F14" s="41">
        <f>+C14*D14*E14</f>
        <v>4760000</v>
      </c>
      <c r="G14" s="50">
        <f>+F14/$F$15</f>
        <v>0.35805626598465473</v>
      </c>
      <c r="H14" s="51">
        <v>90</v>
      </c>
      <c r="I14" s="41">
        <f>+H14*G14</f>
        <v>32.225063938618923</v>
      </c>
      <c r="J14" s="52">
        <f>+F14*H14</f>
        <v>428400000</v>
      </c>
      <c r="K14" s="41">
        <f>+J14/12</f>
        <v>35700000</v>
      </c>
      <c r="L14" s="41"/>
      <c r="M14" s="31"/>
      <c r="AC14" s="28"/>
      <c r="AD14" s="28"/>
      <c r="AJ14" s="29"/>
      <c r="AK14" s="29"/>
    </row>
    <row r="15" spans="1:40" ht="19.5" customHeight="1" x14ac:dyDescent="0.3">
      <c r="A15" s="523"/>
      <c r="B15" s="53"/>
      <c r="C15" s="54">
        <f>ROUND(SUM(C12:C14),1)</f>
        <v>6800</v>
      </c>
      <c r="D15" s="40"/>
      <c r="E15" s="40"/>
      <c r="F15" s="54">
        <f>SUM(F12:F14)</f>
        <v>13294000</v>
      </c>
      <c r="G15" s="54">
        <f>F15/12</f>
        <v>1107833.3333333333</v>
      </c>
      <c r="H15" s="55"/>
      <c r="I15" s="56">
        <f>SUM(I12:I14)</f>
        <v>70.767263427109981</v>
      </c>
      <c r="J15" s="57">
        <f>+F15*I15</f>
        <v>940780000.00000012</v>
      </c>
      <c r="K15" s="58">
        <f>+J15/12</f>
        <v>78398333.333333343</v>
      </c>
      <c r="L15" s="59">
        <f>+I15*(1-0.9)</f>
        <v>7.0767263427109963</v>
      </c>
      <c r="M15" s="60"/>
      <c r="AC15" s="28"/>
      <c r="AD15" s="28"/>
      <c r="AJ15" s="29"/>
      <c r="AK15" s="29"/>
    </row>
    <row r="16" spans="1:40" ht="28.5" customHeight="1" x14ac:dyDescent="0.25">
      <c r="A16" s="515" t="s">
        <v>297</v>
      </c>
      <c r="B16" s="516"/>
      <c r="C16" s="516"/>
      <c r="D16" s="516"/>
      <c r="E16" s="517"/>
      <c r="F16" s="61" t="s">
        <v>300</v>
      </c>
      <c r="G16" s="61"/>
      <c r="H16" s="61"/>
      <c r="I16" s="61" t="s">
        <v>299</v>
      </c>
      <c r="J16" s="61" t="s">
        <v>295</v>
      </c>
      <c r="K16" s="61" t="s">
        <v>296</v>
      </c>
      <c r="L16" s="61"/>
      <c r="M16" s="31"/>
      <c r="AC16" s="28"/>
      <c r="AD16" s="28"/>
      <c r="AM16" s="29"/>
      <c r="AN16" s="29"/>
    </row>
    <row r="17" spans="1:38" ht="23.25" customHeight="1" x14ac:dyDescent="0.3">
      <c r="A17" s="514" t="s">
        <v>213</v>
      </c>
      <c r="B17" s="514"/>
      <c r="C17" s="514"/>
      <c r="D17" s="514"/>
      <c r="E17" s="514"/>
      <c r="F17" s="54">
        <f>+C15</f>
        <v>6800</v>
      </c>
      <c r="G17" s="54">
        <f>+F17/12</f>
        <v>566.66666666666663</v>
      </c>
      <c r="H17" s="54"/>
      <c r="I17" s="57">
        <v>3000</v>
      </c>
      <c r="J17" s="54">
        <f>+F17*I17</f>
        <v>20400000</v>
      </c>
      <c r="K17" s="62">
        <f>+J17/12</f>
        <v>1700000</v>
      </c>
      <c r="L17" s="59">
        <f>+I17*(1-0.9)</f>
        <v>299.99999999999994</v>
      </c>
      <c r="M17" s="60"/>
      <c r="AC17" s="28"/>
      <c r="AD17" s="28"/>
      <c r="AK17" s="29"/>
      <c r="AL17" s="29"/>
    </row>
    <row r="18" spans="1:38" ht="31.5" customHeight="1" x14ac:dyDescent="0.25">
      <c r="A18" s="515" t="s">
        <v>297</v>
      </c>
      <c r="B18" s="518"/>
      <c r="C18" s="518"/>
      <c r="D18" s="518"/>
      <c r="E18" s="519"/>
      <c r="F18" s="61" t="s">
        <v>301</v>
      </c>
      <c r="G18" s="61"/>
      <c r="H18" s="61"/>
      <c r="I18" s="61" t="s">
        <v>302</v>
      </c>
      <c r="J18" s="61" t="s">
        <v>295</v>
      </c>
      <c r="K18" s="61" t="s">
        <v>296</v>
      </c>
      <c r="L18" s="61"/>
      <c r="M18" s="31"/>
      <c r="S18" s="29"/>
      <c r="T18" s="29"/>
      <c r="AC18" s="28"/>
      <c r="AD18" s="28"/>
    </row>
    <row r="19" spans="1:38" ht="21.75" customHeight="1" x14ac:dyDescent="0.3">
      <c r="A19" s="514" t="s">
        <v>214</v>
      </c>
      <c r="B19" s="514"/>
      <c r="C19" s="514"/>
      <c r="D19" s="514"/>
      <c r="E19" s="514"/>
      <c r="F19" s="63">
        <f>IF(PROYECCIONES!B29="PESIMISTA",5,IF(PROYECCIONES!B29="REALISTA",8,IF(PROYECCIONES!B29="OPTIMISTA",12,0)))</f>
        <v>8</v>
      </c>
      <c r="G19" s="54">
        <f>+F19/12</f>
        <v>0.66666666666666663</v>
      </c>
      <c r="H19" s="63"/>
      <c r="I19" s="57">
        <v>2000000</v>
      </c>
      <c r="J19" s="54">
        <f>+F19*I19</f>
        <v>16000000</v>
      </c>
      <c r="K19" s="58">
        <f>+J19/12</f>
        <v>1333333.3333333333</v>
      </c>
      <c r="L19" s="59">
        <f>+I19*(1-0.95)</f>
        <v>100000.00000000009</v>
      </c>
      <c r="M19" s="60"/>
      <c r="T19" s="29"/>
      <c r="U19" s="29"/>
      <c r="AC19" s="28"/>
      <c r="AD19" s="28"/>
    </row>
    <row r="20" spans="1:38" ht="24" customHeight="1" x14ac:dyDescent="0.3">
      <c r="A20" s="45"/>
      <c r="B20" s="45"/>
      <c r="C20" s="45"/>
      <c r="D20" s="45"/>
      <c r="E20" s="45"/>
      <c r="F20" s="64"/>
      <c r="G20" s="64"/>
      <c r="H20" s="64"/>
      <c r="I20" s="65"/>
      <c r="J20" s="66">
        <f>+J15+J17+J19</f>
        <v>977180000.00000012</v>
      </c>
      <c r="K20" s="65"/>
      <c r="L20" s="67">
        <f>+L15+L17+L19</f>
        <v>100307.0767263428</v>
      </c>
      <c r="M20" s="31"/>
      <c r="S20" s="29"/>
      <c r="T20" s="29"/>
      <c r="AC20" s="28"/>
      <c r="AD20" s="28"/>
    </row>
    <row r="21" spans="1:38" ht="27.75" customHeight="1" x14ac:dyDescent="0.3">
      <c r="A21" s="45"/>
      <c r="B21" s="45"/>
      <c r="C21" s="68" t="s">
        <v>422</v>
      </c>
      <c r="D21" s="68" t="s">
        <v>423</v>
      </c>
      <c r="E21" s="68" t="s">
        <v>399</v>
      </c>
      <c r="F21" s="69" t="s">
        <v>424</v>
      </c>
      <c r="G21" s="69" t="s">
        <v>430</v>
      </c>
      <c r="H21" s="69" t="s">
        <v>427</v>
      </c>
      <c r="I21" s="65"/>
      <c r="J21" s="66"/>
      <c r="K21" s="65"/>
      <c r="L21" s="67"/>
      <c r="M21" s="31"/>
      <c r="S21" s="29"/>
      <c r="T21" s="29"/>
      <c r="AC21" s="28"/>
      <c r="AD21" s="28"/>
    </row>
    <row r="22" spans="1:38" ht="27.75" customHeight="1" x14ac:dyDescent="0.3">
      <c r="A22" s="524" t="s">
        <v>421</v>
      </c>
      <c r="B22" s="524"/>
      <c r="C22" s="70">
        <f>+F15</f>
        <v>13294000</v>
      </c>
      <c r="D22" s="70">
        <f>+I15</f>
        <v>70.767263427109981</v>
      </c>
      <c r="E22" s="71">
        <f>+C22/C25</f>
        <v>0.9994881513965167</v>
      </c>
      <c r="F22" s="72">
        <f>+D22*E22</f>
        <v>70.731041302152477</v>
      </c>
      <c r="G22" s="73">
        <f>+L15</f>
        <v>7.0767263427109963</v>
      </c>
      <c r="H22" s="73">
        <f>+E22*G22</f>
        <v>7.0731041302152464</v>
      </c>
      <c r="I22" s="65"/>
      <c r="J22" s="66"/>
      <c r="K22" s="65"/>
      <c r="L22" s="67"/>
      <c r="M22" s="31"/>
      <c r="Q22" s="29"/>
      <c r="R22" s="29"/>
      <c r="AC22" s="28"/>
      <c r="AD22" s="28"/>
    </row>
    <row r="23" spans="1:38" ht="27.75" customHeight="1" x14ac:dyDescent="0.3">
      <c r="A23" s="524" t="s">
        <v>213</v>
      </c>
      <c r="B23" s="524"/>
      <c r="C23" s="70">
        <f>+F17</f>
        <v>6800</v>
      </c>
      <c r="D23" s="70">
        <f>+I17</f>
        <v>3000</v>
      </c>
      <c r="E23" s="71">
        <f>+C23/C25</f>
        <v>5.1124713626420288E-4</v>
      </c>
      <c r="F23" s="72">
        <f t="shared" ref="F23:F24" si="0">+D23*E23</f>
        <v>1.5337414087926087</v>
      </c>
      <c r="G23" s="73">
        <f>+L17</f>
        <v>299.99999999999994</v>
      </c>
      <c r="H23" s="74">
        <f>+E23*G23</f>
        <v>0.15337414087926082</v>
      </c>
      <c r="I23" s="65"/>
      <c r="J23" s="66"/>
      <c r="K23" s="65"/>
      <c r="L23" s="67"/>
      <c r="M23" s="31"/>
      <c r="P23" s="29"/>
      <c r="Q23" s="29"/>
      <c r="AC23" s="28"/>
      <c r="AD23" s="28"/>
    </row>
    <row r="24" spans="1:38" ht="27.75" customHeight="1" x14ac:dyDescent="0.3">
      <c r="A24" s="524" t="s">
        <v>214</v>
      </c>
      <c r="B24" s="524"/>
      <c r="C24" s="75">
        <f>+F19</f>
        <v>8</v>
      </c>
      <c r="D24" s="70">
        <f>+I19</f>
        <v>2000000</v>
      </c>
      <c r="E24" s="71">
        <f>+C24/C25</f>
        <v>6.0146721913435634E-7</v>
      </c>
      <c r="F24" s="72">
        <f t="shared" si="0"/>
        <v>1.2029344382687126</v>
      </c>
      <c r="G24" s="73">
        <f>+L19</f>
        <v>100000.00000000009</v>
      </c>
      <c r="H24" s="74">
        <f>+E24*G24</f>
        <v>6.0146721913435688E-2</v>
      </c>
      <c r="I24" s="65"/>
      <c r="J24" s="66"/>
      <c r="K24" s="65"/>
      <c r="L24" s="76"/>
      <c r="M24" s="31"/>
      <c r="P24" s="29"/>
      <c r="Q24" s="29"/>
      <c r="AC24" s="28"/>
      <c r="AD24" s="28"/>
    </row>
    <row r="25" spans="1:38" ht="24" customHeight="1" x14ac:dyDescent="0.3">
      <c r="A25" s="45"/>
      <c r="B25" s="45"/>
      <c r="C25" s="73">
        <f>SUM(C22:C24)</f>
        <v>13300808</v>
      </c>
      <c r="D25" s="45"/>
      <c r="E25" s="45"/>
      <c r="F25" s="77">
        <f>SUM(F22:F24)</f>
        <v>73.467717149213797</v>
      </c>
      <c r="G25" s="64"/>
      <c r="H25" s="73">
        <f>SUM(H22:H24)</f>
        <v>7.2866249930079423</v>
      </c>
      <c r="I25" s="65"/>
      <c r="J25" s="66"/>
      <c r="K25" s="65"/>
      <c r="L25" s="67"/>
      <c r="M25" s="31"/>
      <c r="P25" s="29"/>
      <c r="Q25" s="29"/>
      <c r="AC25" s="28"/>
      <c r="AD25" s="28"/>
    </row>
    <row r="26" spans="1:38" ht="21.75" customHeight="1" x14ac:dyDescent="0.3">
      <c r="A26" s="45"/>
      <c r="B26" s="45"/>
      <c r="C26" s="45"/>
      <c r="D26" s="45"/>
      <c r="E26" s="45"/>
      <c r="F26" s="64"/>
      <c r="G26" s="64"/>
      <c r="H26" s="64"/>
      <c r="I26" s="65"/>
      <c r="J26" s="66"/>
      <c r="K26" s="65"/>
      <c r="L26" s="67"/>
      <c r="M26" s="31"/>
      <c r="P26" s="29"/>
      <c r="Q26" s="29"/>
      <c r="AC26" s="28"/>
      <c r="AD26" s="28"/>
    </row>
    <row r="27" spans="1:38" ht="21.75" customHeight="1" x14ac:dyDescent="0.3">
      <c r="A27" s="78" t="s">
        <v>365</v>
      </c>
      <c r="I27" s="65"/>
      <c r="J27" s="66"/>
      <c r="K27" s="65"/>
      <c r="L27" s="67"/>
      <c r="M27" s="31"/>
      <c r="AC27" s="28"/>
      <c r="AD27" s="28"/>
    </row>
    <row r="28" spans="1:38" ht="24" customHeight="1" x14ac:dyDescent="0.4">
      <c r="A28" s="30"/>
      <c r="I28" s="65"/>
      <c r="J28" s="66"/>
      <c r="K28" s="65"/>
      <c r="L28" s="67"/>
      <c r="M28" s="31"/>
      <c r="P28" s="29"/>
      <c r="Q28" s="29"/>
      <c r="AC28" s="28"/>
      <c r="AD28" s="28"/>
    </row>
    <row r="29" spans="1:38" ht="24" customHeight="1" x14ac:dyDescent="0.3">
      <c r="A29" s="527"/>
      <c r="B29" s="527"/>
      <c r="C29" s="79" t="s">
        <v>35</v>
      </c>
      <c r="D29" s="80" t="s">
        <v>36</v>
      </c>
      <c r="E29" s="80" t="s">
        <v>37</v>
      </c>
      <c r="F29" s="80" t="s">
        <v>38</v>
      </c>
      <c r="G29" s="80" t="s">
        <v>39</v>
      </c>
      <c r="H29" s="80" t="s">
        <v>40</v>
      </c>
      <c r="I29" s="65"/>
      <c r="J29" s="66"/>
      <c r="K29" s="65"/>
      <c r="L29" s="67"/>
      <c r="M29" s="31"/>
      <c r="P29" s="29"/>
      <c r="Q29" s="29"/>
      <c r="AC29" s="28"/>
      <c r="AD29" s="28"/>
    </row>
    <row r="30" spans="1:38" ht="24" customHeight="1" x14ac:dyDescent="0.3">
      <c r="A30" s="514" t="s">
        <v>425</v>
      </c>
      <c r="B30" s="514"/>
      <c r="C30" s="81"/>
      <c r="D30" s="48">
        <f>+$C$25*F25</f>
        <v>977180000.00000012</v>
      </c>
      <c r="E30" s="82">
        <f>D30*(1+PROYECCIONES!H26)</f>
        <v>1014664624.8000001</v>
      </c>
      <c r="F30" s="82">
        <f>E30*(1+PROYECCIONES!I26)</f>
        <v>1073312240.1134399</v>
      </c>
      <c r="G30" s="82">
        <f>F30*(1+PROYECCIONES!J26)</f>
        <v>1144210953.4463732</v>
      </c>
      <c r="H30" s="82">
        <f>G30*(1+PROYECCIONES!K26)</f>
        <v>1226884771.6766875</v>
      </c>
      <c r="I30" s="65"/>
      <c r="J30" s="66"/>
      <c r="K30" s="65"/>
      <c r="L30" s="67"/>
      <c r="M30" s="31"/>
      <c r="P30" s="29"/>
      <c r="Q30" s="29"/>
      <c r="AC30" s="28"/>
      <c r="AD30" s="28"/>
    </row>
    <row r="31" spans="1:38" ht="19.5" customHeight="1" x14ac:dyDescent="0.25">
      <c r="A31" s="525" t="s">
        <v>370</v>
      </c>
      <c r="B31" s="526"/>
      <c r="C31" s="83"/>
      <c r="D31" s="84">
        <f>SUM(D30)</f>
        <v>977180000.00000012</v>
      </c>
      <c r="E31" s="84">
        <f t="shared" ref="E31:H31" si="1">SUM(E30)</f>
        <v>1014664624.8000001</v>
      </c>
      <c r="F31" s="84">
        <f t="shared" si="1"/>
        <v>1073312240.1134399</v>
      </c>
      <c r="G31" s="84">
        <f t="shared" si="1"/>
        <v>1144210953.4463732</v>
      </c>
      <c r="H31" s="84">
        <f t="shared" si="1"/>
        <v>1226884771.6766875</v>
      </c>
      <c r="AC31" s="28"/>
      <c r="AD31" s="28"/>
    </row>
    <row r="32" spans="1:38" ht="19.5" customHeight="1" x14ac:dyDescent="0.25">
      <c r="A32" s="45"/>
      <c r="B32" s="45"/>
      <c r="C32" s="45"/>
      <c r="D32" s="45"/>
      <c r="E32" s="45"/>
      <c r="F32" s="64"/>
      <c r="G32" s="64"/>
      <c r="H32" s="64"/>
      <c r="S32" s="29"/>
      <c r="T32" s="29"/>
      <c r="AC32" s="28"/>
      <c r="AD32" s="28"/>
    </row>
    <row r="33" spans="1:30" ht="19.5" customHeight="1" x14ac:dyDescent="0.3">
      <c r="A33" s="45"/>
      <c r="B33" s="45"/>
      <c r="C33" s="45"/>
      <c r="D33" s="45"/>
      <c r="E33" s="45"/>
      <c r="F33" s="64"/>
      <c r="G33" s="64"/>
      <c r="H33" s="64"/>
      <c r="I33" s="65"/>
      <c r="J33" s="66"/>
      <c r="K33" s="65"/>
      <c r="L33" s="67"/>
      <c r="M33" s="31"/>
      <c r="AA33" s="29"/>
      <c r="AB33" s="29"/>
      <c r="AC33" s="28"/>
      <c r="AD33" s="28"/>
    </row>
    <row r="34" spans="1:30" ht="19.5" customHeight="1" x14ac:dyDescent="0.25">
      <c r="A34" s="85" t="s">
        <v>297</v>
      </c>
      <c r="B34" s="86" t="s">
        <v>324</v>
      </c>
      <c r="C34" s="86" t="s">
        <v>325</v>
      </c>
      <c r="D34" s="86" t="s">
        <v>323</v>
      </c>
      <c r="E34" s="86" t="s">
        <v>303</v>
      </c>
      <c r="F34" s="86" t="s">
        <v>304</v>
      </c>
      <c r="G34" s="86" t="s">
        <v>305</v>
      </c>
      <c r="H34" s="86" t="s">
        <v>306</v>
      </c>
      <c r="I34" s="86" t="s">
        <v>307</v>
      </c>
      <c r="J34" s="86" t="s">
        <v>308</v>
      </c>
      <c r="K34" s="86" t="s">
        <v>309</v>
      </c>
      <c r="L34" s="86" t="s">
        <v>310</v>
      </c>
      <c r="M34" s="86" t="s">
        <v>311</v>
      </c>
      <c r="N34" s="46" t="s">
        <v>322</v>
      </c>
      <c r="O34" s="61" t="s">
        <v>447</v>
      </c>
      <c r="P34" s="61" t="s">
        <v>448</v>
      </c>
      <c r="Q34" s="61" t="s">
        <v>449</v>
      </c>
      <c r="R34" s="61" t="s">
        <v>450</v>
      </c>
      <c r="AA34" s="29"/>
      <c r="AB34" s="29"/>
      <c r="AC34" s="28"/>
      <c r="AD34" s="28"/>
    </row>
    <row r="35" spans="1:30" ht="45" customHeight="1" x14ac:dyDescent="0.25">
      <c r="A35" s="51" t="str">
        <f>+A12</f>
        <v>Administracion y control de carga por viaje contratado</v>
      </c>
      <c r="B35" s="48">
        <f t="shared" ref="B35:C35" si="2">+$K$15</f>
        <v>78398333.333333343</v>
      </c>
      <c r="C35" s="48">
        <f t="shared" si="2"/>
        <v>78398333.333333343</v>
      </c>
      <c r="D35" s="48">
        <f>+$K$15</f>
        <v>78398333.333333343</v>
      </c>
      <c r="E35" s="48">
        <f>+$K$15</f>
        <v>78398333.333333343</v>
      </c>
      <c r="F35" s="48">
        <f>+E35</f>
        <v>78398333.333333343</v>
      </c>
      <c r="G35" s="48">
        <f t="shared" ref="G35:L35" si="3">+F35</f>
        <v>78398333.333333343</v>
      </c>
      <c r="H35" s="48">
        <f t="shared" si="3"/>
        <v>78398333.333333343</v>
      </c>
      <c r="I35" s="48">
        <f>+H35</f>
        <v>78398333.333333343</v>
      </c>
      <c r="J35" s="48">
        <f t="shared" si="3"/>
        <v>78398333.333333343</v>
      </c>
      <c r="K35" s="48">
        <f t="shared" si="3"/>
        <v>78398333.333333343</v>
      </c>
      <c r="L35" s="48">
        <f t="shared" si="3"/>
        <v>78398333.333333343</v>
      </c>
      <c r="M35" s="48">
        <f>+L35</f>
        <v>78398333.333333343</v>
      </c>
      <c r="N35" s="87">
        <f>SUM(B35:M35)</f>
        <v>940780000.00000036</v>
      </c>
      <c r="O35" s="88"/>
      <c r="P35" s="88"/>
      <c r="Q35" s="88"/>
      <c r="R35" s="88"/>
      <c r="AA35" s="29"/>
      <c r="AB35" s="29"/>
      <c r="AC35" s="28"/>
      <c r="AD35" s="28"/>
    </row>
    <row r="36" spans="1:30" ht="24" customHeight="1" x14ac:dyDescent="0.25">
      <c r="A36" s="51" t="str">
        <f>+A17</f>
        <v>Descargas de Aplicación</v>
      </c>
      <c r="B36" s="48">
        <f t="shared" ref="B36:C36" si="4">+$K$17</f>
        <v>1700000</v>
      </c>
      <c r="C36" s="89">
        <f t="shared" si="4"/>
        <v>1700000</v>
      </c>
      <c r="D36" s="89">
        <f t="shared" ref="D36:M36" si="5">+$K$17</f>
        <v>1700000</v>
      </c>
      <c r="E36" s="89">
        <f t="shared" si="5"/>
        <v>1700000</v>
      </c>
      <c r="F36" s="89">
        <f t="shared" si="5"/>
        <v>1700000</v>
      </c>
      <c r="G36" s="89">
        <f t="shared" si="5"/>
        <v>1700000</v>
      </c>
      <c r="H36" s="89">
        <f t="shared" si="5"/>
        <v>1700000</v>
      </c>
      <c r="I36" s="89">
        <f t="shared" si="5"/>
        <v>1700000</v>
      </c>
      <c r="J36" s="89">
        <f t="shared" si="5"/>
        <v>1700000</v>
      </c>
      <c r="K36" s="89">
        <f t="shared" si="5"/>
        <v>1700000</v>
      </c>
      <c r="L36" s="89">
        <f t="shared" si="5"/>
        <v>1700000</v>
      </c>
      <c r="M36" s="89">
        <f t="shared" si="5"/>
        <v>1700000</v>
      </c>
      <c r="N36" s="87">
        <f>SUM(B36:M36)</f>
        <v>20400000</v>
      </c>
      <c r="O36" s="88"/>
      <c r="P36" s="88"/>
      <c r="Q36" s="88"/>
      <c r="R36" s="88"/>
      <c r="AA36" s="29"/>
      <c r="AB36" s="29"/>
      <c r="AC36" s="28"/>
      <c r="AD36" s="28"/>
    </row>
    <row r="37" spans="1:30" ht="24" customHeight="1" x14ac:dyDescent="0.25">
      <c r="A37" s="40" t="str">
        <f>+A19</f>
        <v>Publicidad</v>
      </c>
      <c r="B37" s="48">
        <f t="shared" ref="B37:C37" si="6">+$K$19</f>
        <v>1333333.3333333333</v>
      </c>
      <c r="C37" s="48">
        <f t="shared" si="6"/>
        <v>1333333.3333333333</v>
      </c>
      <c r="D37" s="48">
        <f t="shared" ref="D37:M37" si="7">+$K$19</f>
        <v>1333333.3333333333</v>
      </c>
      <c r="E37" s="48">
        <f t="shared" si="7"/>
        <v>1333333.3333333333</v>
      </c>
      <c r="F37" s="48">
        <f t="shared" si="7"/>
        <v>1333333.3333333333</v>
      </c>
      <c r="G37" s="48">
        <f t="shared" si="7"/>
        <v>1333333.3333333333</v>
      </c>
      <c r="H37" s="48">
        <f t="shared" si="7"/>
        <v>1333333.3333333333</v>
      </c>
      <c r="I37" s="48">
        <f t="shared" si="7"/>
        <v>1333333.3333333333</v>
      </c>
      <c r="J37" s="48">
        <f t="shared" si="7"/>
        <v>1333333.3333333333</v>
      </c>
      <c r="K37" s="48">
        <f t="shared" si="7"/>
        <v>1333333.3333333333</v>
      </c>
      <c r="L37" s="48">
        <f t="shared" si="7"/>
        <v>1333333.3333333333</v>
      </c>
      <c r="M37" s="48">
        <f t="shared" si="7"/>
        <v>1333333.3333333333</v>
      </c>
      <c r="N37" s="87">
        <f>SUM(B37:M37)</f>
        <v>16000000.000000002</v>
      </c>
      <c r="O37" s="88"/>
      <c r="P37" s="88"/>
      <c r="Q37" s="88"/>
      <c r="R37" s="88"/>
    </row>
    <row r="39" spans="1:30" ht="24" customHeight="1" x14ac:dyDescent="0.25">
      <c r="B39" s="86" t="s">
        <v>324</v>
      </c>
      <c r="C39" s="86" t="s">
        <v>325</v>
      </c>
      <c r="D39" s="86" t="s">
        <v>323</v>
      </c>
      <c r="E39" s="86" t="s">
        <v>303</v>
      </c>
      <c r="F39" s="86" t="s">
        <v>304</v>
      </c>
      <c r="G39" s="86" t="s">
        <v>305</v>
      </c>
      <c r="H39" s="86" t="s">
        <v>306</v>
      </c>
      <c r="I39" s="86" t="s">
        <v>307</v>
      </c>
      <c r="J39" s="86" t="s">
        <v>308</v>
      </c>
      <c r="K39" s="86" t="s">
        <v>309</v>
      </c>
      <c r="L39" s="86" t="s">
        <v>310</v>
      </c>
      <c r="M39" s="86" t="s">
        <v>311</v>
      </c>
      <c r="N39" s="46" t="s">
        <v>322</v>
      </c>
      <c r="O39" s="29"/>
    </row>
    <row r="40" spans="1:30" ht="24" customHeight="1" x14ac:dyDescent="0.25">
      <c r="A40" s="90" t="s">
        <v>426</v>
      </c>
      <c r="B40" s="91">
        <f>+B35+B36+B37</f>
        <v>81431666.666666672</v>
      </c>
      <c r="C40" s="91">
        <f t="shared" ref="C40:N40" si="8">+C35+C36+C37</f>
        <v>81431666.666666672</v>
      </c>
      <c r="D40" s="91">
        <f t="shared" si="8"/>
        <v>81431666.666666672</v>
      </c>
      <c r="E40" s="91">
        <f t="shared" si="8"/>
        <v>81431666.666666672</v>
      </c>
      <c r="F40" s="91">
        <f t="shared" si="8"/>
        <v>81431666.666666672</v>
      </c>
      <c r="G40" s="91">
        <f t="shared" si="8"/>
        <v>81431666.666666672</v>
      </c>
      <c r="H40" s="91">
        <f t="shared" si="8"/>
        <v>81431666.666666672</v>
      </c>
      <c r="I40" s="91">
        <f t="shared" si="8"/>
        <v>81431666.666666672</v>
      </c>
      <c r="J40" s="91">
        <f t="shared" si="8"/>
        <v>81431666.666666672</v>
      </c>
      <c r="K40" s="91">
        <f t="shared" si="8"/>
        <v>81431666.666666672</v>
      </c>
      <c r="L40" s="91">
        <f t="shared" si="8"/>
        <v>81431666.666666672</v>
      </c>
      <c r="M40" s="91">
        <f t="shared" si="8"/>
        <v>81431666.666666672</v>
      </c>
      <c r="N40" s="91">
        <f t="shared" si="8"/>
        <v>977180000.00000036</v>
      </c>
    </row>
    <row r="43" spans="1:30" ht="24" customHeight="1" x14ac:dyDescent="0.25">
      <c r="B43" s="92" t="s">
        <v>453</v>
      </c>
      <c r="C43" s="92" t="s">
        <v>456</v>
      </c>
      <c r="AB43" s="29"/>
      <c r="AD43" s="28"/>
    </row>
    <row r="44" spans="1:30" ht="24" customHeight="1" x14ac:dyDescent="0.25">
      <c r="B44" s="93" t="s">
        <v>454</v>
      </c>
      <c r="C44" s="94">
        <v>130000</v>
      </c>
      <c r="I44" s="29"/>
      <c r="J44" s="29"/>
      <c r="AB44" s="29"/>
      <c r="AD44" s="28"/>
    </row>
    <row r="45" spans="1:30" ht="33" customHeight="1" x14ac:dyDescent="0.25">
      <c r="B45" s="95" t="s">
        <v>455</v>
      </c>
      <c r="C45" s="93">
        <v>360</v>
      </c>
    </row>
    <row r="46" spans="1:30" ht="33" customHeight="1" x14ac:dyDescent="0.25">
      <c r="B46" s="95" t="s">
        <v>462</v>
      </c>
      <c r="C46" s="93">
        <v>6</v>
      </c>
    </row>
    <row r="47" spans="1:30" ht="33.75" customHeight="1" x14ac:dyDescent="0.25">
      <c r="B47" s="95" t="s">
        <v>457</v>
      </c>
      <c r="C47" s="96">
        <f>+C44*C45*C46</f>
        <v>280800000</v>
      </c>
    </row>
    <row r="48" spans="1:30" ht="30.75" customHeight="1" x14ac:dyDescent="0.25">
      <c r="B48" s="95" t="s">
        <v>458</v>
      </c>
      <c r="C48" s="93">
        <v>71</v>
      </c>
    </row>
    <row r="49" spans="2:31" ht="32.25" customHeight="1" x14ac:dyDescent="0.25">
      <c r="B49" s="95" t="s">
        <v>461</v>
      </c>
      <c r="C49" s="96">
        <f>+C47*C48</f>
        <v>19936800000</v>
      </c>
      <c r="D49" s="44"/>
    </row>
    <row r="50" spans="2:31" ht="24" customHeight="1" x14ac:dyDescent="0.25">
      <c r="AC50" s="28"/>
      <c r="AE50" s="29"/>
    </row>
    <row r="51" spans="2:31" ht="24" customHeight="1" x14ac:dyDescent="0.25">
      <c r="B51" s="92" t="s">
        <v>459</v>
      </c>
      <c r="C51" s="92" t="s">
        <v>460</v>
      </c>
      <c r="N51" s="29"/>
      <c r="AC51" s="28"/>
      <c r="AE51" s="29"/>
    </row>
    <row r="52" spans="2:31" ht="24" customHeight="1" x14ac:dyDescent="0.25">
      <c r="B52" s="93" t="s">
        <v>203</v>
      </c>
      <c r="C52" s="96">
        <v>4500</v>
      </c>
      <c r="F52" s="29"/>
      <c r="L52" s="44" t="e">
        <f>+#REF!*#REF!</f>
        <v>#REF!</v>
      </c>
      <c r="X52" s="29"/>
      <c r="Y52" s="29"/>
      <c r="AC52" s="28"/>
      <c r="AD52" s="28"/>
    </row>
    <row r="53" spans="2:31" ht="24" customHeight="1" x14ac:dyDescent="0.25">
      <c r="B53" s="93" t="s">
        <v>204</v>
      </c>
      <c r="C53" s="96">
        <v>6800</v>
      </c>
      <c r="E53" s="29"/>
      <c r="F53" s="29"/>
      <c r="X53" s="29"/>
      <c r="Y53" s="29"/>
      <c r="AC53" s="28"/>
      <c r="AD53" s="28"/>
    </row>
    <row r="54" spans="2:31" ht="24" customHeight="1" x14ac:dyDescent="0.25">
      <c r="B54" s="93" t="s">
        <v>205</v>
      </c>
      <c r="C54" s="96">
        <v>9000</v>
      </c>
      <c r="E54" s="29"/>
      <c r="F54" s="97"/>
      <c r="G54" s="97"/>
      <c r="H54" s="97"/>
      <c r="I54" s="97"/>
      <c r="X54" s="29"/>
      <c r="Y54" s="29"/>
      <c r="AC54" s="28"/>
      <c r="AD54" s="28"/>
    </row>
    <row r="55" spans="2:31" ht="24" customHeight="1" x14ac:dyDescent="0.25">
      <c r="E55" s="29"/>
      <c r="F55" s="98"/>
      <c r="G55" s="99"/>
      <c r="H55" s="100"/>
      <c r="X55" s="29"/>
      <c r="Y55" s="29"/>
      <c r="AC55" s="28"/>
      <c r="AD55" s="28"/>
    </row>
  </sheetData>
  <mergeCells count="12">
    <mergeCell ref="A22:B22"/>
    <mergeCell ref="A23:B23"/>
    <mergeCell ref="A24:B24"/>
    <mergeCell ref="A31:B31"/>
    <mergeCell ref="A29:B29"/>
    <mergeCell ref="A30:B30"/>
    <mergeCell ref="A19:E19"/>
    <mergeCell ref="A16:E16"/>
    <mergeCell ref="A18:E18"/>
    <mergeCell ref="A1:F1"/>
    <mergeCell ref="A12:A15"/>
    <mergeCell ref="A17:E17"/>
  </mergeCells>
  <conditionalFormatting sqref="B3">
    <cfRule type="containsText" dxfId="52" priority="1" operator="containsText" text="OPTIMISTA">
      <formula>NOT(ISERROR(SEARCH("OPTIMISTA",B3)))</formula>
    </cfRule>
    <cfRule type="containsText" dxfId="51" priority="2" operator="containsText" text="REALISTA">
      <formula>NOT(ISERROR(SEARCH("REALISTA",B3)))</formula>
    </cfRule>
    <cfRule type="containsText" dxfId="50" priority="3" operator="containsText" text="PESIMISTA">
      <formula>NOT(ISERROR(SEARCH("PESIMISTA",B3)))</formula>
    </cfRule>
  </conditionalFormatting>
  <dataValidations count="1">
    <dataValidation type="list" allowBlank="1" showInputMessage="1" showErrorMessage="1" sqref="B2">
      <formula1>"1,2,3"</formula1>
    </dataValidation>
  </dataValidations>
  <pageMargins left="0.7" right="0.7" top="0.75" bottom="0.75" header="0.3" footer="0.3"/>
  <pageSetup paperSize="9" orientation="portrait" horizontalDpi="90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U84"/>
  <sheetViews>
    <sheetView topLeftCell="C58" zoomScaleNormal="100" workbookViewId="0">
      <selection activeCell="L76" sqref="L76"/>
    </sheetView>
  </sheetViews>
  <sheetFormatPr baseColWidth="10" defaultRowHeight="15" x14ac:dyDescent="0.25"/>
  <cols>
    <col min="1" max="1" width="15.140625" style="44" customWidth="1"/>
    <col min="2" max="2" width="20.42578125" style="44" customWidth="1"/>
    <col min="3" max="3" width="27.5703125" style="44" customWidth="1"/>
    <col min="4" max="4" width="20" style="44" customWidth="1"/>
    <col min="5" max="6" width="21.5703125" style="44" customWidth="1"/>
    <col min="7" max="7" width="20.7109375" style="44" customWidth="1"/>
    <col min="8" max="8" width="13.7109375" style="44" customWidth="1"/>
    <col min="9" max="9" width="16.140625" style="44" customWidth="1"/>
    <col min="10" max="10" width="13.85546875" style="44" bestFit="1" customWidth="1"/>
    <col min="11" max="11" width="15.42578125" style="44" customWidth="1"/>
    <col min="12" max="13" width="13.42578125" style="44" bestFit="1" customWidth="1"/>
    <col min="14" max="14" width="17.28515625" style="44" customWidth="1"/>
    <col min="15" max="15" width="13.42578125" style="44" bestFit="1" customWidth="1"/>
    <col min="16" max="16" width="15.28515625" style="44" bestFit="1" customWidth="1"/>
    <col min="17" max="17" width="14.28515625" style="44" bestFit="1" customWidth="1"/>
    <col min="18" max="21" width="15.85546875" style="44" customWidth="1"/>
    <col min="22" max="16384" width="11.42578125" style="44"/>
  </cols>
  <sheetData>
    <row r="1" spans="2:19" ht="25.5" customHeight="1" x14ac:dyDescent="0.4">
      <c r="B1" s="528" t="s">
        <v>260</v>
      </c>
      <c r="C1" s="528"/>
      <c r="D1" s="528"/>
      <c r="E1" s="528"/>
    </row>
    <row r="2" spans="2:19" ht="33.75" customHeight="1" x14ac:dyDescent="0.4">
      <c r="B2" s="325"/>
      <c r="C2" s="325"/>
      <c r="D2" s="325"/>
      <c r="E2" s="326"/>
    </row>
    <row r="3" spans="2:19" ht="51.75" customHeight="1" x14ac:dyDescent="0.25">
      <c r="B3" s="327" t="s">
        <v>326</v>
      </c>
      <c r="C3" s="328" t="s">
        <v>337</v>
      </c>
      <c r="D3" s="329" t="s">
        <v>327</v>
      </c>
      <c r="E3" s="329" t="s">
        <v>228</v>
      </c>
      <c r="F3" s="329" t="s">
        <v>252</v>
      </c>
      <c r="G3" s="329" t="s">
        <v>251</v>
      </c>
      <c r="H3" s="329" t="s">
        <v>331</v>
      </c>
    </row>
    <row r="4" spans="2:19" x14ac:dyDescent="0.25">
      <c r="B4" s="330" t="s">
        <v>223</v>
      </c>
      <c r="C4" s="330" t="s">
        <v>338</v>
      </c>
      <c r="D4" s="110">
        <f>+E23</f>
        <v>3500000</v>
      </c>
      <c r="E4" s="110">
        <f>IF(D4&gt;(PROYECCIONES!$C$39*2),0,PROYECCIONES!$C$40)</f>
        <v>0</v>
      </c>
      <c r="F4" s="110">
        <f>+D4*PROYECCIONES!$C$49</f>
        <v>578270</v>
      </c>
      <c r="G4" s="110">
        <f>+D4*PROYECCIONES!$C$45</f>
        <v>764050</v>
      </c>
      <c r="H4" s="110">
        <f>SUM(D4:G4)</f>
        <v>4842320</v>
      </c>
    </row>
    <row r="5" spans="2:19" ht="14.25" customHeight="1" x14ac:dyDescent="0.25">
      <c r="B5" s="330" t="s">
        <v>224</v>
      </c>
      <c r="C5" s="330" t="s">
        <v>338</v>
      </c>
      <c r="D5" s="110">
        <f>+E24</f>
        <v>1800000</v>
      </c>
      <c r="E5" s="110">
        <f>IF(D5&gt;(PROYECCIONES!$C$39*2),0,PROYECCIONES!$C$40)</f>
        <v>117172</v>
      </c>
      <c r="F5" s="110">
        <f>+D5*PROYECCIONES!$C$45</f>
        <v>392940</v>
      </c>
      <c r="G5" s="110">
        <f>+D5*PROYECCIONES!$C$45</f>
        <v>392940</v>
      </c>
      <c r="H5" s="110">
        <f t="shared" ref="H5:H11" si="0">SUM(D5:G5)</f>
        <v>2703052</v>
      </c>
    </row>
    <row r="6" spans="2:19" x14ac:dyDescent="0.25">
      <c r="B6" s="331" t="s">
        <v>329</v>
      </c>
      <c r="C6" s="331"/>
      <c r="D6" s="332">
        <f>SUM(D4:D5)</f>
        <v>5300000</v>
      </c>
      <c r="E6" s="332">
        <f>SUM(E4:E5)</f>
        <v>117172</v>
      </c>
      <c r="F6" s="332">
        <f>SUM(F4:F5)</f>
        <v>971210</v>
      </c>
      <c r="G6" s="332">
        <f>SUM(G4:G5)</f>
        <v>1156990</v>
      </c>
      <c r="H6" s="332">
        <f>SUM(H4:H5)</f>
        <v>7545372</v>
      </c>
      <c r="S6" s="333"/>
    </row>
    <row r="7" spans="2:19" x14ac:dyDescent="0.25">
      <c r="B7" s="330" t="s">
        <v>225</v>
      </c>
      <c r="C7" s="330" t="s">
        <v>339</v>
      </c>
      <c r="D7" s="110">
        <f>+E35</f>
        <v>2500000</v>
      </c>
      <c r="E7" s="110">
        <f>IF(D7&gt;(PROYECCIONES!$C$39*2),0,PROYECCIONES!$C$40)</f>
        <v>0</v>
      </c>
      <c r="F7" s="110">
        <f>+D7*PROYECCIONES!$C$45</f>
        <v>545750</v>
      </c>
      <c r="G7" s="110">
        <f>+D7*PROYECCIONES!$C$45</f>
        <v>545750</v>
      </c>
      <c r="H7" s="110">
        <f t="shared" si="0"/>
        <v>3591500</v>
      </c>
      <c r="S7" s="333"/>
    </row>
    <row r="8" spans="2:19" ht="27.75" customHeight="1" x14ac:dyDescent="0.25">
      <c r="B8" s="334" t="s">
        <v>434</v>
      </c>
      <c r="C8" s="334" t="s">
        <v>339</v>
      </c>
      <c r="D8" s="110">
        <f>+E37</f>
        <v>2000000</v>
      </c>
      <c r="E8" s="110">
        <f>IF(D8&gt;(PROYECCIONES!$C$39*2),0,PROYECCIONES!$C$40)</f>
        <v>117172</v>
      </c>
      <c r="F8" s="110">
        <f>+D8*PROYECCIONES!$C$45</f>
        <v>436600</v>
      </c>
      <c r="G8" s="110">
        <f>+D8*PROYECCIONES!$C$45</f>
        <v>436600</v>
      </c>
      <c r="H8" s="110">
        <f t="shared" ref="H8" si="1">SUM(D8:G8)</f>
        <v>2990372</v>
      </c>
    </row>
    <row r="9" spans="2:19" ht="27.75" customHeight="1" x14ac:dyDescent="0.25">
      <c r="B9" s="334" t="s">
        <v>226</v>
      </c>
      <c r="C9" s="334" t="s">
        <v>339</v>
      </c>
      <c r="D9" s="110">
        <f>+E36</f>
        <v>2000000</v>
      </c>
      <c r="E9" s="110">
        <f>IF(D9&gt;(PROYECCIONES!$C$39*2),0,PROYECCIONES!$C$40)</f>
        <v>117172</v>
      </c>
      <c r="F9" s="110">
        <f>+D9*PROYECCIONES!$C$45</f>
        <v>436600</v>
      </c>
      <c r="G9" s="110">
        <f>+D9*PROYECCIONES!$C$45</f>
        <v>436600</v>
      </c>
      <c r="H9" s="110">
        <f t="shared" si="0"/>
        <v>2990372</v>
      </c>
    </row>
    <row r="10" spans="2:19" ht="27" customHeight="1" x14ac:dyDescent="0.25">
      <c r="B10" s="330" t="s">
        <v>227</v>
      </c>
      <c r="C10" s="330" t="s">
        <v>340</v>
      </c>
      <c r="D10" s="110">
        <f>+E38</f>
        <v>2500000</v>
      </c>
      <c r="E10" s="110">
        <f>IF(D10&gt;(PROYECCIONES!$C$39*2),0,PROYECCIONES!$C$40)</f>
        <v>0</v>
      </c>
      <c r="F10" s="110">
        <f>+D10*PROYECCIONES!$C$45</f>
        <v>545750</v>
      </c>
      <c r="G10" s="110">
        <f>+D10*PROYECCIONES!$C$45</f>
        <v>545750</v>
      </c>
      <c r="H10" s="110">
        <f t="shared" si="0"/>
        <v>3591500</v>
      </c>
    </row>
    <row r="11" spans="2:19" ht="30.75" customHeight="1" x14ac:dyDescent="0.25">
      <c r="B11" s="334" t="s">
        <v>328</v>
      </c>
      <c r="C11" s="334" t="s">
        <v>340</v>
      </c>
      <c r="D11" s="110">
        <f>+E39</f>
        <v>1300000</v>
      </c>
      <c r="E11" s="110">
        <f>IF(D11&gt;(PROYECCIONES!$C$39*2),0,PROYECCIONES!$C$40)</f>
        <v>117172</v>
      </c>
      <c r="F11" s="110">
        <f>+D11*PROYECCIONES!$C$45</f>
        <v>283790</v>
      </c>
      <c r="G11" s="110">
        <f>+D11*PROYECCIONES!$C$45</f>
        <v>283790</v>
      </c>
      <c r="H11" s="110">
        <f t="shared" si="0"/>
        <v>1984752</v>
      </c>
    </row>
    <row r="12" spans="2:19" x14ac:dyDescent="0.25">
      <c r="B12" s="331" t="s">
        <v>330</v>
      </c>
      <c r="C12" s="331"/>
      <c r="D12" s="332">
        <f>SUM(D7:D11)</f>
        <v>10300000</v>
      </c>
      <c r="E12" s="332">
        <f>SUM(E7:E11)</f>
        <v>351516</v>
      </c>
      <c r="F12" s="332">
        <f>SUM(F7:F11)</f>
        <v>2248490</v>
      </c>
      <c r="G12" s="332">
        <f>SUM(G7:G11)</f>
        <v>2248490</v>
      </c>
      <c r="H12" s="332">
        <f t="shared" ref="H12" si="2">SUM(H7:H11)</f>
        <v>15148496</v>
      </c>
    </row>
    <row r="13" spans="2:19" x14ac:dyDescent="0.25">
      <c r="H13" s="335">
        <f>+H6+H12</f>
        <v>22693868</v>
      </c>
      <c r="P13" s="336"/>
    </row>
    <row r="14" spans="2:19" x14ac:dyDescent="0.25">
      <c r="B14" s="336"/>
      <c r="C14" s="170"/>
      <c r="D14" s="337"/>
      <c r="E14" s="338"/>
      <c r="O14" s="170"/>
    </row>
    <row r="15" spans="2:19" x14ac:dyDescent="0.25">
      <c r="B15" s="28" t="s">
        <v>271</v>
      </c>
      <c r="C15" s="28" t="s">
        <v>273</v>
      </c>
      <c r="D15" s="170"/>
      <c r="E15" s="170"/>
      <c r="O15" s="170"/>
      <c r="R15" s="333"/>
    </row>
    <row r="16" spans="2:19" x14ac:dyDescent="0.25">
      <c r="B16" s="339" t="s">
        <v>266</v>
      </c>
      <c r="C16" s="102">
        <v>171444464</v>
      </c>
      <c r="O16" s="170"/>
    </row>
    <row r="17" spans="1:21" x14ac:dyDescent="0.25">
      <c r="B17" s="339" t="s">
        <v>268</v>
      </c>
      <c r="C17" s="102">
        <v>316301952</v>
      </c>
    </row>
    <row r="18" spans="1:21" x14ac:dyDescent="0.25">
      <c r="B18" s="339" t="s">
        <v>267</v>
      </c>
      <c r="C18" s="102">
        <v>174963833.33333331</v>
      </c>
    </row>
    <row r="19" spans="1:21" x14ac:dyDescent="0.25">
      <c r="B19" s="339" t="s">
        <v>272</v>
      </c>
      <c r="C19" s="102">
        <v>662710249.33333325</v>
      </c>
    </row>
    <row r="20" spans="1:21" x14ac:dyDescent="0.25">
      <c r="B20" s="340"/>
      <c r="C20" s="340"/>
    </row>
    <row r="21" spans="1:21" ht="15.75" thickBot="1" x14ac:dyDescent="0.3">
      <c r="B21" s="340"/>
      <c r="C21" s="340"/>
      <c r="J21" s="341"/>
      <c r="K21" s="342"/>
      <c r="L21" s="342"/>
      <c r="M21" s="342"/>
      <c r="N21" s="170"/>
    </row>
    <row r="22" spans="1:21" ht="41.25" thickBot="1" x14ac:dyDescent="0.35">
      <c r="A22" s="343" t="s">
        <v>452</v>
      </c>
      <c r="B22" s="344" t="s">
        <v>347</v>
      </c>
      <c r="C22" s="343" t="s">
        <v>348</v>
      </c>
      <c r="D22" s="345" t="s">
        <v>341</v>
      </c>
      <c r="E22" s="345" t="s">
        <v>238</v>
      </c>
      <c r="F22" s="345" t="s">
        <v>239</v>
      </c>
      <c r="G22" s="345" t="s">
        <v>240</v>
      </c>
      <c r="H22" s="345" t="s">
        <v>241</v>
      </c>
      <c r="I22" s="345" t="s">
        <v>242</v>
      </c>
      <c r="J22" s="345" t="s">
        <v>243</v>
      </c>
      <c r="K22" s="345" t="s">
        <v>244</v>
      </c>
      <c r="L22" s="345" t="s">
        <v>245</v>
      </c>
      <c r="M22" s="345" t="s">
        <v>246</v>
      </c>
      <c r="N22" s="345" t="s">
        <v>247</v>
      </c>
      <c r="O22" s="345" t="s">
        <v>248</v>
      </c>
      <c r="P22" s="345" t="s">
        <v>249</v>
      </c>
      <c r="Q22" s="346" t="s">
        <v>250</v>
      </c>
      <c r="R22" s="347" t="s">
        <v>443</v>
      </c>
      <c r="S22" s="348" t="s">
        <v>444</v>
      </c>
      <c r="T22" s="348" t="s">
        <v>445</v>
      </c>
      <c r="U22" s="346" t="s">
        <v>446</v>
      </c>
    </row>
    <row r="23" spans="1:21" ht="14.25" customHeight="1" x14ac:dyDescent="0.25">
      <c r="A23" s="538" t="s">
        <v>259</v>
      </c>
      <c r="B23" s="529" t="s">
        <v>343</v>
      </c>
      <c r="C23" s="330" t="s">
        <v>223</v>
      </c>
      <c r="D23" s="330" t="s">
        <v>266</v>
      </c>
      <c r="E23" s="110">
        <v>3500000</v>
      </c>
      <c r="F23" s="110">
        <v>3000000</v>
      </c>
      <c r="G23" s="110">
        <v>3000000</v>
      </c>
      <c r="H23" s="110">
        <v>3000000</v>
      </c>
      <c r="I23" s="110">
        <v>3000000</v>
      </c>
      <c r="J23" s="110">
        <v>3000000</v>
      </c>
      <c r="K23" s="110">
        <v>3000000</v>
      </c>
      <c r="L23" s="110">
        <v>3000000</v>
      </c>
      <c r="M23" s="110">
        <v>3000000</v>
      </c>
      <c r="N23" s="110">
        <v>3000000</v>
      </c>
      <c r="O23" s="110">
        <v>3000000</v>
      </c>
      <c r="P23" s="110">
        <v>3000000</v>
      </c>
      <c r="Q23" s="349">
        <f>SUM(E23:P23)</f>
        <v>36500000</v>
      </c>
      <c r="R23" s="350">
        <f>+Q23*(1+PROYECCIONES!H$22)</f>
        <v>37850500</v>
      </c>
      <c r="S23" s="110">
        <f>+R23*(1+PROYECCIONES!I$22)</f>
        <v>39137417</v>
      </c>
      <c r="T23" s="110">
        <f>+S23*(1+PROYECCIONES!J$22)</f>
        <v>40428951.761</v>
      </c>
      <c r="U23" s="349">
        <f>+T23*(1+PROYECCIONES!K$22)</f>
        <v>41884394.024396002</v>
      </c>
    </row>
    <row r="24" spans="1:21" x14ac:dyDescent="0.25">
      <c r="A24" s="539"/>
      <c r="B24" s="529"/>
      <c r="C24" s="330" t="s">
        <v>224</v>
      </c>
      <c r="D24" s="330" t="s">
        <v>266</v>
      </c>
      <c r="E24" s="110">
        <v>1800000</v>
      </c>
      <c r="F24" s="110">
        <v>1800000</v>
      </c>
      <c r="G24" s="110">
        <v>1800000</v>
      </c>
      <c r="H24" s="110">
        <v>1800000</v>
      </c>
      <c r="I24" s="110">
        <v>1800000</v>
      </c>
      <c r="J24" s="110">
        <v>1800000</v>
      </c>
      <c r="K24" s="110">
        <v>1800000</v>
      </c>
      <c r="L24" s="110">
        <v>1800000</v>
      </c>
      <c r="M24" s="110">
        <v>1800000</v>
      </c>
      <c r="N24" s="110">
        <v>1800000</v>
      </c>
      <c r="O24" s="110">
        <v>1800000</v>
      </c>
      <c r="P24" s="110">
        <v>1800000</v>
      </c>
      <c r="Q24" s="349">
        <f>SUM(E24:P24)</f>
        <v>21600000</v>
      </c>
      <c r="R24" s="350">
        <f>+Q24*(1+PROYECCIONES!H$22)</f>
        <v>22399200</v>
      </c>
      <c r="S24" s="110">
        <f>+R24*(1+PROYECCIONES!I$22)</f>
        <v>23160772.800000001</v>
      </c>
      <c r="T24" s="110">
        <f>+S24*(1+PROYECCIONES!J$22)</f>
        <v>23925078.3024</v>
      </c>
      <c r="U24" s="349">
        <f>+T24*(1+PROYECCIONES!K$22)</f>
        <v>24786381.1212864</v>
      </c>
    </row>
    <row r="25" spans="1:21" ht="14.25" customHeight="1" x14ac:dyDescent="0.25">
      <c r="A25" s="539"/>
      <c r="B25" s="529"/>
      <c r="C25" s="330" t="s">
        <v>228</v>
      </c>
      <c r="D25" s="330" t="s">
        <v>266</v>
      </c>
      <c r="E25" s="110">
        <f>+$E$6</f>
        <v>117172</v>
      </c>
      <c r="F25" s="110">
        <f t="shared" ref="F25:P25" si="3">+$E$6</f>
        <v>117172</v>
      </c>
      <c r="G25" s="110">
        <f t="shared" si="3"/>
        <v>117172</v>
      </c>
      <c r="H25" s="110">
        <f t="shared" si="3"/>
        <v>117172</v>
      </c>
      <c r="I25" s="110">
        <f t="shared" si="3"/>
        <v>117172</v>
      </c>
      <c r="J25" s="110">
        <f t="shared" si="3"/>
        <v>117172</v>
      </c>
      <c r="K25" s="110">
        <f t="shared" si="3"/>
        <v>117172</v>
      </c>
      <c r="L25" s="110">
        <f t="shared" si="3"/>
        <v>117172</v>
      </c>
      <c r="M25" s="110">
        <f t="shared" si="3"/>
        <v>117172</v>
      </c>
      <c r="N25" s="110">
        <f t="shared" si="3"/>
        <v>117172</v>
      </c>
      <c r="O25" s="110">
        <f t="shared" si="3"/>
        <v>117172</v>
      </c>
      <c r="P25" s="110">
        <f t="shared" si="3"/>
        <v>117172</v>
      </c>
      <c r="Q25" s="349">
        <f t="shared" ref="Q25:Q27" si="4">SUM(E25:P25)</f>
        <v>1406064</v>
      </c>
      <c r="R25" s="350">
        <f>+Q25*(1+PROYECCIONES!H$22)</f>
        <v>1458088.3679999998</v>
      </c>
      <c r="S25" s="110">
        <f>+R25*(1+PROYECCIONES!I$22)</f>
        <v>1507663.3725119999</v>
      </c>
      <c r="T25" s="110">
        <f>+S25*(1+PROYECCIONES!J$22)</f>
        <v>1557416.2638048958</v>
      </c>
      <c r="U25" s="349">
        <f>+T25*(1+PROYECCIONES!K$22)</f>
        <v>1613483.2493018722</v>
      </c>
    </row>
    <row r="26" spans="1:21" ht="14.25" customHeight="1" x14ac:dyDescent="0.25">
      <c r="A26" s="539"/>
      <c r="B26" s="529"/>
      <c r="C26" s="330" t="s">
        <v>252</v>
      </c>
      <c r="D26" s="330" t="s">
        <v>266</v>
      </c>
      <c r="E26" s="110">
        <f>+$F$6</f>
        <v>971210</v>
      </c>
      <c r="F26" s="110">
        <f t="shared" ref="F26:P26" si="5">+$F$6</f>
        <v>971210</v>
      </c>
      <c r="G26" s="110">
        <f t="shared" si="5"/>
        <v>971210</v>
      </c>
      <c r="H26" s="110">
        <f t="shared" si="5"/>
        <v>971210</v>
      </c>
      <c r="I26" s="110">
        <f t="shared" si="5"/>
        <v>971210</v>
      </c>
      <c r="J26" s="110">
        <f t="shared" si="5"/>
        <v>971210</v>
      </c>
      <c r="K26" s="110">
        <f t="shared" si="5"/>
        <v>971210</v>
      </c>
      <c r="L26" s="110">
        <f t="shared" si="5"/>
        <v>971210</v>
      </c>
      <c r="M26" s="110">
        <f t="shared" si="5"/>
        <v>971210</v>
      </c>
      <c r="N26" s="110">
        <f t="shared" si="5"/>
        <v>971210</v>
      </c>
      <c r="O26" s="110">
        <f t="shared" si="5"/>
        <v>971210</v>
      </c>
      <c r="P26" s="110">
        <f t="shared" si="5"/>
        <v>971210</v>
      </c>
      <c r="Q26" s="349">
        <f t="shared" si="4"/>
        <v>11654520</v>
      </c>
      <c r="R26" s="350">
        <f>+Q26*(1+PROYECCIONES!H$22)</f>
        <v>12085737.239999998</v>
      </c>
      <c r="S26" s="110">
        <f>+R26*(1+PROYECCIONES!I$22)</f>
        <v>12496652.306159999</v>
      </c>
      <c r="T26" s="110">
        <f>+S26*(1+PROYECCIONES!J$22)</f>
        <v>12909041.832263278</v>
      </c>
      <c r="U26" s="349">
        <f>+T26*(1+PROYECCIONES!K$22)</f>
        <v>13373767.338224756</v>
      </c>
    </row>
    <row r="27" spans="1:21" ht="14.25" customHeight="1" x14ac:dyDescent="0.25">
      <c r="A27" s="539"/>
      <c r="B27" s="529"/>
      <c r="C27" s="330" t="s">
        <v>251</v>
      </c>
      <c r="D27" s="330" t="s">
        <v>266</v>
      </c>
      <c r="E27" s="110">
        <f>+$G$6</f>
        <v>1156990</v>
      </c>
      <c r="F27" s="110">
        <f t="shared" ref="F27:P27" si="6">+$G$6</f>
        <v>1156990</v>
      </c>
      <c r="G27" s="110">
        <f t="shared" si="6"/>
        <v>1156990</v>
      </c>
      <c r="H27" s="110">
        <f t="shared" si="6"/>
        <v>1156990</v>
      </c>
      <c r="I27" s="110">
        <f t="shared" si="6"/>
        <v>1156990</v>
      </c>
      <c r="J27" s="110">
        <f t="shared" si="6"/>
        <v>1156990</v>
      </c>
      <c r="K27" s="110">
        <f t="shared" si="6"/>
        <v>1156990</v>
      </c>
      <c r="L27" s="110">
        <f t="shared" si="6"/>
        <v>1156990</v>
      </c>
      <c r="M27" s="110">
        <f t="shared" si="6"/>
        <v>1156990</v>
      </c>
      <c r="N27" s="110">
        <f t="shared" si="6"/>
        <v>1156990</v>
      </c>
      <c r="O27" s="110">
        <f t="shared" si="6"/>
        <v>1156990</v>
      </c>
      <c r="P27" s="110">
        <f t="shared" si="6"/>
        <v>1156990</v>
      </c>
      <c r="Q27" s="349">
        <f t="shared" si="4"/>
        <v>13883880</v>
      </c>
      <c r="R27" s="350">
        <f>+Q27*(1+PROYECCIONES!H$22)</f>
        <v>14397583.559999999</v>
      </c>
      <c r="S27" s="110">
        <f>+R27*(1+PROYECCIONES!I$22)</f>
        <v>14887101.401039999</v>
      </c>
      <c r="T27" s="110">
        <f>+S27*(1+PROYECCIONES!J$22)</f>
        <v>15378375.747274317</v>
      </c>
      <c r="U27" s="349">
        <f>+T27*(1+PROYECCIONES!K$22)</f>
        <v>15931997.274176193</v>
      </c>
    </row>
    <row r="28" spans="1:21" ht="14.25" customHeight="1" x14ac:dyDescent="0.25">
      <c r="A28" s="539"/>
      <c r="B28" s="529"/>
      <c r="C28" s="330" t="s">
        <v>336</v>
      </c>
      <c r="D28" s="330" t="s">
        <v>266</v>
      </c>
      <c r="E28" s="110">
        <v>250000</v>
      </c>
      <c r="F28" s="110">
        <v>250000</v>
      </c>
      <c r="G28" s="110">
        <v>250000</v>
      </c>
      <c r="H28" s="110">
        <v>250000</v>
      </c>
      <c r="I28" s="110">
        <v>250000</v>
      </c>
      <c r="J28" s="110">
        <v>250000</v>
      </c>
      <c r="K28" s="110">
        <v>250000</v>
      </c>
      <c r="L28" s="110">
        <v>250000</v>
      </c>
      <c r="M28" s="110">
        <v>250000</v>
      </c>
      <c r="N28" s="110">
        <v>250000</v>
      </c>
      <c r="O28" s="110">
        <v>250000</v>
      </c>
      <c r="P28" s="110">
        <v>250000</v>
      </c>
      <c r="Q28" s="349">
        <f t="shared" ref="Q28:Q36" si="7">SUM(E28:P28)</f>
        <v>3000000</v>
      </c>
      <c r="R28" s="350">
        <f>+Q28*(1+PROYECCIONES!H$22)</f>
        <v>3110999.9999999995</v>
      </c>
      <c r="S28" s="110">
        <f>+R28*(1+PROYECCIONES!I$22)</f>
        <v>3216773.9999999995</v>
      </c>
      <c r="T28" s="110">
        <f>+S28*(1+PROYECCIONES!J$22)</f>
        <v>3322927.5419999994</v>
      </c>
      <c r="U28" s="349">
        <f>+T28*(1+PROYECCIONES!K$22)</f>
        <v>3442552.9335119994</v>
      </c>
    </row>
    <row r="29" spans="1:21" ht="14.25" customHeight="1" x14ac:dyDescent="0.25">
      <c r="A29" s="539"/>
      <c r="B29" s="529"/>
      <c r="C29" s="330" t="s">
        <v>334</v>
      </c>
      <c r="D29" s="330" t="s">
        <v>266</v>
      </c>
      <c r="E29" s="110">
        <v>2000000</v>
      </c>
      <c r="F29" s="110">
        <v>2000000</v>
      </c>
      <c r="G29" s="110">
        <v>2000000</v>
      </c>
      <c r="H29" s="110">
        <v>2000000</v>
      </c>
      <c r="I29" s="110">
        <v>2000000</v>
      </c>
      <c r="J29" s="110">
        <v>2000000</v>
      </c>
      <c r="K29" s="110">
        <v>2000000</v>
      </c>
      <c r="L29" s="110">
        <v>2000000</v>
      </c>
      <c r="M29" s="110">
        <v>2000000</v>
      </c>
      <c r="N29" s="110">
        <v>2000000</v>
      </c>
      <c r="O29" s="110">
        <v>2000000</v>
      </c>
      <c r="P29" s="110">
        <v>2000000</v>
      </c>
      <c r="Q29" s="349">
        <f t="shared" si="7"/>
        <v>24000000</v>
      </c>
      <c r="R29" s="350">
        <f>+Q29*(1+PROYECCIONES!H$22)</f>
        <v>24887999.999999996</v>
      </c>
      <c r="S29" s="110">
        <f>+R29*(1+PROYECCIONES!I$22)</f>
        <v>25734191.999999996</v>
      </c>
      <c r="T29" s="110">
        <f>+S29*(1+PROYECCIONES!J$22)</f>
        <v>26583420.335999995</v>
      </c>
      <c r="U29" s="349">
        <f>+T29*(1+PROYECCIONES!K$22)</f>
        <v>27540423.468095995</v>
      </c>
    </row>
    <row r="30" spans="1:21" ht="14.25" customHeight="1" x14ac:dyDescent="0.25">
      <c r="A30" s="539"/>
      <c r="B30" s="529"/>
      <c r="C30" s="330" t="s">
        <v>436</v>
      </c>
      <c r="D30" s="330" t="s">
        <v>266</v>
      </c>
      <c r="E30" s="110">
        <v>150000</v>
      </c>
      <c r="F30" s="110">
        <v>150000</v>
      </c>
      <c r="G30" s="110">
        <v>150000</v>
      </c>
      <c r="H30" s="110">
        <v>150000</v>
      </c>
      <c r="I30" s="110">
        <v>150000</v>
      </c>
      <c r="J30" s="110">
        <v>150000</v>
      </c>
      <c r="K30" s="110">
        <v>150000</v>
      </c>
      <c r="L30" s="110">
        <v>150000</v>
      </c>
      <c r="M30" s="110">
        <v>150000</v>
      </c>
      <c r="N30" s="110">
        <v>150000</v>
      </c>
      <c r="O30" s="110">
        <v>150000</v>
      </c>
      <c r="P30" s="110">
        <v>150000</v>
      </c>
      <c r="Q30" s="349">
        <f t="shared" ref="Q30:Q31" si="8">SUM(E30:P30)</f>
        <v>1800000</v>
      </c>
      <c r="R30" s="350">
        <f>+Q30*(1+PROYECCIONES!H$22)</f>
        <v>1866599.9999999998</v>
      </c>
      <c r="S30" s="110">
        <f>+R30*(1+PROYECCIONES!I$22)</f>
        <v>1930064.4</v>
      </c>
      <c r="T30" s="110">
        <f>+S30*(1+PROYECCIONES!J$22)</f>
        <v>1993756.5251999998</v>
      </c>
      <c r="U30" s="349">
        <f>+T30*(1+PROYECCIONES!K$22)</f>
        <v>2065531.7601071999</v>
      </c>
    </row>
    <row r="31" spans="1:21" ht="14.25" customHeight="1" x14ac:dyDescent="0.25">
      <c r="A31" s="539"/>
      <c r="B31" s="529"/>
      <c r="C31" s="330" t="s">
        <v>433</v>
      </c>
      <c r="D31" s="330" t="s">
        <v>266</v>
      </c>
      <c r="E31" s="110">
        <v>3000000</v>
      </c>
      <c r="F31" s="110">
        <v>0</v>
      </c>
      <c r="G31" s="110">
        <v>3000000</v>
      </c>
      <c r="H31" s="110">
        <v>0</v>
      </c>
      <c r="I31" s="110">
        <v>3000000</v>
      </c>
      <c r="J31" s="110">
        <v>0</v>
      </c>
      <c r="K31" s="110">
        <v>3000000</v>
      </c>
      <c r="L31" s="110">
        <v>0</v>
      </c>
      <c r="M31" s="110">
        <v>3000000</v>
      </c>
      <c r="N31" s="110">
        <v>0</v>
      </c>
      <c r="O31" s="110">
        <v>3000000</v>
      </c>
      <c r="P31" s="110">
        <v>0</v>
      </c>
      <c r="Q31" s="349">
        <f t="shared" si="8"/>
        <v>18000000</v>
      </c>
      <c r="R31" s="350">
        <f>+Q31*(1+PROYECCIONES!H$22)</f>
        <v>18666000</v>
      </c>
      <c r="S31" s="110">
        <f>+R31*(1+PROYECCIONES!I$22)</f>
        <v>19300644</v>
      </c>
      <c r="T31" s="110">
        <f>+S31*(1+PROYECCIONES!J$22)</f>
        <v>19937565.251999997</v>
      </c>
      <c r="U31" s="349">
        <f>+T31*(1+PROYECCIONES!K$22)</f>
        <v>20655317.601071998</v>
      </c>
    </row>
    <row r="32" spans="1:21" ht="14.25" customHeight="1" x14ac:dyDescent="0.25">
      <c r="A32" s="539"/>
      <c r="B32" s="529"/>
      <c r="C32" s="330" t="s">
        <v>432</v>
      </c>
      <c r="D32" s="330" t="s">
        <v>266</v>
      </c>
      <c r="E32" s="110">
        <v>300000</v>
      </c>
      <c r="F32" s="110">
        <v>300000</v>
      </c>
      <c r="G32" s="110">
        <v>300000</v>
      </c>
      <c r="H32" s="110">
        <v>300000</v>
      </c>
      <c r="I32" s="110">
        <v>300000</v>
      </c>
      <c r="J32" s="110">
        <v>300000</v>
      </c>
      <c r="K32" s="110">
        <v>300000</v>
      </c>
      <c r="L32" s="110">
        <v>300000</v>
      </c>
      <c r="M32" s="110">
        <v>300000</v>
      </c>
      <c r="N32" s="110">
        <v>300000</v>
      </c>
      <c r="O32" s="110">
        <v>300000</v>
      </c>
      <c r="P32" s="110">
        <v>300000</v>
      </c>
      <c r="Q32" s="349">
        <f t="shared" si="7"/>
        <v>3600000</v>
      </c>
      <c r="R32" s="350">
        <f>+Q32*(1+PROYECCIONES!H$22)</f>
        <v>3733199.9999999995</v>
      </c>
      <c r="S32" s="110">
        <f>+R32*(1+PROYECCIONES!I$22)</f>
        <v>3860128.8</v>
      </c>
      <c r="T32" s="110">
        <f>+S32*(1+PROYECCIONES!J$22)</f>
        <v>3987513.0503999996</v>
      </c>
      <c r="U32" s="349">
        <f>+T32*(1+PROYECCIONES!K$22)</f>
        <v>4131063.5202143998</v>
      </c>
    </row>
    <row r="33" spans="1:21" ht="42" customHeight="1" x14ac:dyDescent="0.25">
      <c r="A33" s="539"/>
      <c r="B33" s="529"/>
      <c r="C33" s="334" t="s">
        <v>258</v>
      </c>
      <c r="D33" s="330" t="s">
        <v>266</v>
      </c>
      <c r="E33" s="110">
        <v>3000000</v>
      </c>
      <c r="F33" s="110">
        <v>3000000</v>
      </c>
      <c r="G33" s="110">
        <v>3000000</v>
      </c>
      <c r="H33" s="110">
        <v>3000000</v>
      </c>
      <c r="I33" s="110">
        <v>3000000</v>
      </c>
      <c r="J33" s="110">
        <v>3000000</v>
      </c>
      <c r="K33" s="110">
        <v>3000000</v>
      </c>
      <c r="L33" s="110">
        <v>3000000</v>
      </c>
      <c r="M33" s="110">
        <v>3000000</v>
      </c>
      <c r="N33" s="110">
        <v>3000000</v>
      </c>
      <c r="O33" s="110">
        <v>3000000</v>
      </c>
      <c r="P33" s="110">
        <v>3000000</v>
      </c>
      <c r="Q33" s="349">
        <f t="shared" si="7"/>
        <v>36000000</v>
      </c>
      <c r="R33" s="350">
        <f>+Q33*(1+PROYECCIONES!H$22)</f>
        <v>37332000</v>
      </c>
      <c r="S33" s="110">
        <f>+R33*(1+PROYECCIONES!I$22)</f>
        <v>38601288</v>
      </c>
      <c r="T33" s="110">
        <f>+S33*(1+PROYECCIONES!J$22)</f>
        <v>39875130.503999993</v>
      </c>
      <c r="U33" s="349">
        <f>+T33*(1+PROYECCIONES!K$22)</f>
        <v>41310635.202143997</v>
      </c>
    </row>
    <row r="34" spans="1:21" ht="14.25" customHeight="1" x14ac:dyDescent="0.25">
      <c r="A34" s="539"/>
      <c r="B34" s="529"/>
      <c r="C34" s="351" t="s">
        <v>344</v>
      </c>
      <c r="D34" s="351"/>
      <c r="E34" s="352">
        <f t="shared" ref="E34:R34" si="9">SUM(E23:E33)</f>
        <v>16245372</v>
      </c>
      <c r="F34" s="352">
        <f t="shared" si="9"/>
        <v>12745372</v>
      </c>
      <c r="G34" s="352">
        <f t="shared" si="9"/>
        <v>15745372</v>
      </c>
      <c r="H34" s="352">
        <f t="shared" si="9"/>
        <v>12745372</v>
      </c>
      <c r="I34" s="352">
        <f t="shared" si="9"/>
        <v>15745372</v>
      </c>
      <c r="J34" s="352">
        <f t="shared" si="9"/>
        <v>12745372</v>
      </c>
      <c r="K34" s="352">
        <f t="shared" si="9"/>
        <v>15745372</v>
      </c>
      <c r="L34" s="352">
        <f t="shared" si="9"/>
        <v>12745372</v>
      </c>
      <c r="M34" s="352">
        <f t="shared" si="9"/>
        <v>15745372</v>
      </c>
      <c r="N34" s="352">
        <f t="shared" si="9"/>
        <v>12745372</v>
      </c>
      <c r="O34" s="352">
        <f t="shared" si="9"/>
        <v>15745372</v>
      </c>
      <c r="P34" s="352">
        <f t="shared" si="9"/>
        <v>12745372</v>
      </c>
      <c r="Q34" s="353">
        <f t="shared" si="9"/>
        <v>171444464</v>
      </c>
      <c r="R34" s="354">
        <f t="shared" si="9"/>
        <v>177787909.16799998</v>
      </c>
      <c r="S34" s="332">
        <f t="shared" ref="S34:U34" si="10">SUM(S23:S33)</f>
        <v>183832698.07971203</v>
      </c>
      <c r="T34" s="332">
        <f t="shared" si="10"/>
        <v>189899177.11634243</v>
      </c>
      <c r="U34" s="353">
        <f t="shared" si="10"/>
        <v>196735547.49253082</v>
      </c>
    </row>
    <row r="35" spans="1:21" ht="14.25" customHeight="1" x14ac:dyDescent="0.25">
      <c r="A35" s="539"/>
      <c r="B35" s="532" t="s">
        <v>332</v>
      </c>
      <c r="C35" s="330" t="s">
        <v>225</v>
      </c>
      <c r="D35" s="330" t="s">
        <v>268</v>
      </c>
      <c r="E35" s="110">
        <v>2500000</v>
      </c>
      <c r="F35" s="110">
        <v>2500000</v>
      </c>
      <c r="G35" s="110">
        <v>2500000</v>
      </c>
      <c r="H35" s="110">
        <v>2500000</v>
      </c>
      <c r="I35" s="110">
        <v>2500000</v>
      </c>
      <c r="J35" s="110">
        <v>2500000</v>
      </c>
      <c r="K35" s="110">
        <v>2500000</v>
      </c>
      <c r="L35" s="110">
        <v>2500000</v>
      </c>
      <c r="M35" s="110">
        <v>2500000</v>
      </c>
      <c r="N35" s="110">
        <v>2500000</v>
      </c>
      <c r="O35" s="110">
        <v>2500000</v>
      </c>
      <c r="P35" s="110">
        <v>2500000</v>
      </c>
      <c r="Q35" s="349">
        <f t="shared" si="7"/>
        <v>30000000</v>
      </c>
      <c r="R35" s="350">
        <f>+Q35*(1+PROYECCIONES!H$22)</f>
        <v>31109999.999999996</v>
      </c>
      <c r="S35" s="110">
        <f>+R35*(1+PROYECCIONES!I$22)</f>
        <v>32167739.999999996</v>
      </c>
      <c r="T35" s="110">
        <f>+S35*(1+PROYECCIONES!J$22)</f>
        <v>33229275.419999994</v>
      </c>
      <c r="U35" s="349">
        <f>+T35*(1+PROYECCIONES!K$22)</f>
        <v>34425529.335119992</v>
      </c>
    </row>
    <row r="36" spans="1:21" ht="14.25" customHeight="1" x14ac:dyDescent="0.25">
      <c r="A36" s="539"/>
      <c r="B36" s="532"/>
      <c r="C36" s="334" t="s">
        <v>226</v>
      </c>
      <c r="D36" s="330" t="s">
        <v>268</v>
      </c>
      <c r="E36" s="110">
        <v>2000000</v>
      </c>
      <c r="F36" s="110">
        <v>2000000</v>
      </c>
      <c r="G36" s="110">
        <v>2000000</v>
      </c>
      <c r="H36" s="110">
        <v>2000000</v>
      </c>
      <c r="I36" s="110">
        <v>2000000</v>
      </c>
      <c r="J36" s="110">
        <v>2000000</v>
      </c>
      <c r="K36" s="110">
        <v>2000000</v>
      </c>
      <c r="L36" s="110">
        <v>2000000</v>
      </c>
      <c r="M36" s="110">
        <v>2000000</v>
      </c>
      <c r="N36" s="110">
        <v>2000000</v>
      </c>
      <c r="O36" s="110">
        <v>2000000</v>
      </c>
      <c r="P36" s="110">
        <v>2000000</v>
      </c>
      <c r="Q36" s="349">
        <f t="shared" si="7"/>
        <v>24000000</v>
      </c>
      <c r="R36" s="350">
        <f>+Q36*(1+PROYECCIONES!H$22)</f>
        <v>24887999.999999996</v>
      </c>
      <c r="S36" s="110">
        <f>+R36*(1+PROYECCIONES!I$22)</f>
        <v>25734191.999999996</v>
      </c>
      <c r="T36" s="110">
        <f>+S36*(1+PROYECCIONES!J$22)</f>
        <v>26583420.335999995</v>
      </c>
      <c r="U36" s="349">
        <f>+T36*(1+PROYECCIONES!K$22)</f>
        <v>27540423.468095995</v>
      </c>
    </row>
    <row r="37" spans="1:21" ht="14.25" customHeight="1" x14ac:dyDescent="0.25">
      <c r="A37" s="539"/>
      <c r="B37" s="532"/>
      <c r="C37" s="334" t="s">
        <v>435</v>
      </c>
      <c r="D37" s="330" t="s">
        <v>268</v>
      </c>
      <c r="E37" s="110">
        <v>2000000</v>
      </c>
      <c r="F37" s="110">
        <v>2000000</v>
      </c>
      <c r="G37" s="110">
        <v>2000000</v>
      </c>
      <c r="H37" s="110">
        <v>2000000</v>
      </c>
      <c r="I37" s="110">
        <v>2000000</v>
      </c>
      <c r="J37" s="110">
        <v>2000000</v>
      </c>
      <c r="K37" s="110">
        <v>2000000</v>
      </c>
      <c r="L37" s="110">
        <v>2000000</v>
      </c>
      <c r="M37" s="110">
        <v>2000000</v>
      </c>
      <c r="N37" s="110">
        <v>2000000</v>
      </c>
      <c r="O37" s="110">
        <v>2000000</v>
      </c>
      <c r="P37" s="110">
        <v>2000000</v>
      </c>
      <c r="Q37" s="349">
        <f t="shared" ref="Q37:Q42" si="11">SUM(E37:P37)</f>
        <v>24000000</v>
      </c>
      <c r="R37" s="350">
        <f>+Q37*(1+PROYECCIONES!H$22)</f>
        <v>24887999.999999996</v>
      </c>
      <c r="S37" s="110">
        <f>+R37*(1+PROYECCIONES!I$22)</f>
        <v>25734191.999999996</v>
      </c>
      <c r="T37" s="110">
        <f>+S37*(1+PROYECCIONES!J$22)</f>
        <v>26583420.335999995</v>
      </c>
      <c r="U37" s="349">
        <f>+T37*(1+PROYECCIONES!K$22)</f>
        <v>27540423.468095995</v>
      </c>
    </row>
    <row r="38" spans="1:21" ht="14.25" customHeight="1" x14ac:dyDescent="0.25">
      <c r="A38" s="539"/>
      <c r="B38" s="532"/>
      <c r="C38" s="330" t="s">
        <v>227</v>
      </c>
      <c r="D38" s="330" t="s">
        <v>268</v>
      </c>
      <c r="E38" s="110">
        <v>2500000</v>
      </c>
      <c r="F38" s="110">
        <v>2500000</v>
      </c>
      <c r="G38" s="110">
        <v>2500000</v>
      </c>
      <c r="H38" s="110">
        <v>2500000</v>
      </c>
      <c r="I38" s="110">
        <v>2500000</v>
      </c>
      <c r="J38" s="110">
        <v>2500000</v>
      </c>
      <c r="K38" s="110">
        <v>2500000</v>
      </c>
      <c r="L38" s="110">
        <v>2500000</v>
      </c>
      <c r="M38" s="110">
        <v>2500000</v>
      </c>
      <c r="N38" s="110">
        <v>2500000</v>
      </c>
      <c r="O38" s="110">
        <v>2500000</v>
      </c>
      <c r="P38" s="110">
        <v>2500000</v>
      </c>
      <c r="Q38" s="349">
        <f t="shared" si="11"/>
        <v>30000000</v>
      </c>
      <c r="R38" s="350">
        <f>+Q38*(1+PROYECCIONES!H$22)</f>
        <v>31109999.999999996</v>
      </c>
      <c r="S38" s="110">
        <f>+R38*(1+PROYECCIONES!I$22)</f>
        <v>32167739.999999996</v>
      </c>
      <c r="T38" s="110">
        <f>+S38*(1+PROYECCIONES!J$22)</f>
        <v>33229275.419999994</v>
      </c>
      <c r="U38" s="349">
        <f>+T38*(1+PROYECCIONES!K$22)</f>
        <v>34425529.335119992</v>
      </c>
    </row>
    <row r="39" spans="1:21" ht="14.25" customHeight="1" x14ac:dyDescent="0.25">
      <c r="A39" s="539"/>
      <c r="B39" s="532"/>
      <c r="C39" s="334" t="s">
        <v>328</v>
      </c>
      <c r="D39" s="330" t="s">
        <v>268</v>
      </c>
      <c r="E39" s="110">
        <v>1300000</v>
      </c>
      <c r="F39" s="110">
        <v>1300000</v>
      </c>
      <c r="G39" s="110">
        <v>1300000</v>
      </c>
      <c r="H39" s="110">
        <v>1300000</v>
      </c>
      <c r="I39" s="110">
        <v>1300000</v>
      </c>
      <c r="J39" s="110">
        <v>1300000</v>
      </c>
      <c r="K39" s="110">
        <v>1300000</v>
      </c>
      <c r="L39" s="110">
        <v>1300000</v>
      </c>
      <c r="M39" s="110">
        <v>1300000</v>
      </c>
      <c r="N39" s="110">
        <v>1300000</v>
      </c>
      <c r="O39" s="110">
        <v>1300000</v>
      </c>
      <c r="P39" s="110">
        <v>1300000</v>
      </c>
      <c r="Q39" s="349">
        <f t="shared" si="11"/>
        <v>15600000</v>
      </c>
      <c r="R39" s="350">
        <f>+Q39*(1+PROYECCIONES!H$22)</f>
        <v>16177199.999999998</v>
      </c>
      <c r="S39" s="110">
        <f>+R39*(1+PROYECCIONES!I$22)</f>
        <v>16727224.799999999</v>
      </c>
      <c r="T39" s="110">
        <f>+S39*(1+PROYECCIONES!J$22)</f>
        <v>17279223.218399998</v>
      </c>
      <c r="U39" s="349">
        <f>+T39*(1+PROYECCIONES!K$22)</f>
        <v>17901275.254262399</v>
      </c>
    </row>
    <row r="40" spans="1:21" x14ac:dyDescent="0.25">
      <c r="A40" s="539"/>
      <c r="B40" s="532"/>
      <c r="C40" s="330" t="s">
        <v>228</v>
      </c>
      <c r="D40" s="330" t="s">
        <v>268</v>
      </c>
      <c r="E40" s="110">
        <f>+$E$12</f>
        <v>351516</v>
      </c>
      <c r="F40" s="110">
        <f t="shared" ref="F40:P40" si="12">+$E$12</f>
        <v>351516</v>
      </c>
      <c r="G40" s="110">
        <f t="shared" si="12"/>
        <v>351516</v>
      </c>
      <c r="H40" s="110">
        <f t="shared" si="12"/>
        <v>351516</v>
      </c>
      <c r="I40" s="110">
        <f t="shared" si="12"/>
        <v>351516</v>
      </c>
      <c r="J40" s="110">
        <f t="shared" si="12"/>
        <v>351516</v>
      </c>
      <c r="K40" s="110">
        <f t="shared" si="12"/>
        <v>351516</v>
      </c>
      <c r="L40" s="110">
        <f t="shared" si="12"/>
        <v>351516</v>
      </c>
      <c r="M40" s="110">
        <f t="shared" si="12"/>
        <v>351516</v>
      </c>
      <c r="N40" s="110">
        <f t="shared" si="12"/>
        <v>351516</v>
      </c>
      <c r="O40" s="110">
        <f t="shared" si="12"/>
        <v>351516</v>
      </c>
      <c r="P40" s="110">
        <f t="shared" si="12"/>
        <v>351516</v>
      </c>
      <c r="Q40" s="349">
        <f t="shared" si="11"/>
        <v>4218192</v>
      </c>
      <c r="R40" s="350">
        <f>+Q40*(1+PROYECCIONES!H$22)</f>
        <v>4374265.1039999994</v>
      </c>
      <c r="S40" s="110">
        <f>+R40*(1+PROYECCIONES!I$22)</f>
        <v>4522990.117535999</v>
      </c>
      <c r="T40" s="110">
        <f>+S40*(1+PROYECCIONES!J$22)</f>
        <v>4672248.7914146865</v>
      </c>
      <c r="U40" s="349">
        <f>+T40*(1+PROYECCIONES!K$22)</f>
        <v>4840449.7479056157</v>
      </c>
    </row>
    <row r="41" spans="1:21" x14ac:dyDescent="0.25">
      <c r="A41" s="539"/>
      <c r="B41" s="532"/>
      <c r="C41" s="330" t="s">
        <v>252</v>
      </c>
      <c r="D41" s="330" t="s">
        <v>268</v>
      </c>
      <c r="E41" s="110">
        <f>+$F$12</f>
        <v>2248490</v>
      </c>
      <c r="F41" s="110">
        <f t="shared" ref="F41:P41" si="13">+$F$12</f>
        <v>2248490</v>
      </c>
      <c r="G41" s="110">
        <f t="shared" si="13"/>
        <v>2248490</v>
      </c>
      <c r="H41" s="110">
        <f t="shared" si="13"/>
        <v>2248490</v>
      </c>
      <c r="I41" s="110">
        <f t="shared" si="13"/>
        <v>2248490</v>
      </c>
      <c r="J41" s="110">
        <f t="shared" si="13"/>
        <v>2248490</v>
      </c>
      <c r="K41" s="110">
        <f t="shared" si="13"/>
        <v>2248490</v>
      </c>
      <c r="L41" s="110">
        <f t="shared" si="13"/>
        <v>2248490</v>
      </c>
      <c r="M41" s="110">
        <f t="shared" si="13"/>
        <v>2248490</v>
      </c>
      <c r="N41" s="110">
        <f t="shared" si="13"/>
        <v>2248490</v>
      </c>
      <c r="O41" s="110">
        <f t="shared" si="13"/>
        <v>2248490</v>
      </c>
      <c r="P41" s="110">
        <f t="shared" si="13"/>
        <v>2248490</v>
      </c>
      <c r="Q41" s="349">
        <f t="shared" si="11"/>
        <v>26981880</v>
      </c>
      <c r="R41" s="350">
        <f>+Q41*(1+PROYECCIONES!H$22)</f>
        <v>27980209.559999999</v>
      </c>
      <c r="S41" s="110">
        <f>+R41*(1+PROYECCIONES!I$22)</f>
        <v>28931536.685040001</v>
      </c>
      <c r="T41" s="110">
        <f>+S41*(1+PROYECCIONES!J$22)</f>
        <v>29886277.395646319</v>
      </c>
      <c r="U41" s="349">
        <f>+T41*(1+PROYECCIONES!K$22)</f>
        <v>30962183.381889585</v>
      </c>
    </row>
    <row r="42" spans="1:21" x14ac:dyDescent="0.25">
      <c r="A42" s="539"/>
      <c r="B42" s="532"/>
      <c r="C42" s="330" t="s">
        <v>251</v>
      </c>
      <c r="D42" s="330" t="s">
        <v>268</v>
      </c>
      <c r="E42" s="110">
        <f>+$G$12</f>
        <v>2248490</v>
      </c>
      <c r="F42" s="110">
        <f t="shared" ref="F42:P42" si="14">+$G$12</f>
        <v>2248490</v>
      </c>
      <c r="G42" s="110">
        <f t="shared" si="14"/>
        <v>2248490</v>
      </c>
      <c r="H42" s="110">
        <f t="shared" si="14"/>
        <v>2248490</v>
      </c>
      <c r="I42" s="110">
        <f t="shared" si="14"/>
        <v>2248490</v>
      </c>
      <c r="J42" s="110">
        <f t="shared" si="14"/>
        <v>2248490</v>
      </c>
      <c r="K42" s="110">
        <f t="shared" si="14"/>
        <v>2248490</v>
      </c>
      <c r="L42" s="110">
        <f t="shared" si="14"/>
        <v>2248490</v>
      </c>
      <c r="M42" s="110">
        <f t="shared" si="14"/>
        <v>2248490</v>
      </c>
      <c r="N42" s="110">
        <f t="shared" si="14"/>
        <v>2248490</v>
      </c>
      <c r="O42" s="110">
        <f t="shared" si="14"/>
        <v>2248490</v>
      </c>
      <c r="P42" s="110">
        <f t="shared" si="14"/>
        <v>2248490</v>
      </c>
      <c r="Q42" s="349">
        <f t="shared" si="11"/>
        <v>26981880</v>
      </c>
      <c r="R42" s="350">
        <f>+Q42*(1+PROYECCIONES!H$22)</f>
        <v>27980209.559999999</v>
      </c>
      <c r="S42" s="110">
        <f>+R42*(1+PROYECCIONES!I$22)</f>
        <v>28931536.685040001</v>
      </c>
      <c r="T42" s="110">
        <f>+S42*(1+PROYECCIONES!J$22)</f>
        <v>29886277.395646319</v>
      </c>
      <c r="U42" s="349">
        <f>+T42*(1+PROYECCIONES!K$22)</f>
        <v>30962183.381889585</v>
      </c>
    </row>
    <row r="43" spans="1:21" ht="14.25" customHeight="1" x14ac:dyDescent="0.25">
      <c r="A43" s="539"/>
      <c r="B43" s="532"/>
      <c r="C43" s="330" t="s">
        <v>254</v>
      </c>
      <c r="D43" s="330" t="s">
        <v>268</v>
      </c>
      <c r="E43" s="110">
        <v>150000</v>
      </c>
      <c r="F43" s="110">
        <v>150000</v>
      </c>
      <c r="G43" s="110">
        <v>150000</v>
      </c>
      <c r="H43" s="110">
        <v>150000</v>
      </c>
      <c r="I43" s="110">
        <v>150000</v>
      </c>
      <c r="J43" s="110">
        <v>150000</v>
      </c>
      <c r="K43" s="110">
        <v>150000</v>
      </c>
      <c r="L43" s="110">
        <v>150000</v>
      </c>
      <c r="M43" s="110">
        <v>150000</v>
      </c>
      <c r="N43" s="110">
        <v>150000</v>
      </c>
      <c r="O43" s="110">
        <v>150000</v>
      </c>
      <c r="P43" s="110">
        <v>150000</v>
      </c>
      <c r="Q43" s="349">
        <f t="shared" ref="Q43:Q56" si="15">SUM(E43:P43)</f>
        <v>1800000</v>
      </c>
      <c r="R43" s="350">
        <f>+Q43*(1+PROYECCIONES!H$22)</f>
        <v>1866599.9999999998</v>
      </c>
      <c r="S43" s="110">
        <f>+R43*(1+PROYECCIONES!I$22)</f>
        <v>1930064.4</v>
      </c>
      <c r="T43" s="110">
        <f>+S43*(1+PROYECCIONES!J$22)</f>
        <v>1993756.5251999998</v>
      </c>
      <c r="U43" s="349">
        <f>+T43*(1+PROYECCIONES!K$22)</f>
        <v>2065531.7601071999</v>
      </c>
    </row>
    <row r="44" spans="1:21" x14ac:dyDescent="0.25">
      <c r="A44" s="539"/>
      <c r="B44" s="532"/>
      <c r="C44" s="330" t="s">
        <v>255</v>
      </c>
      <c r="D44" s="330" t="s">
        <v>268</v>
      </c>
      <c r="E44" s="110">
        <v>390000</v>
      </c>
      <c r="F44" s="110">
        <v>390000</v>
      </c>
      <c r="G44" s="110">
        <v>390000</v>
      </c>
      <c r="H44" s="110">
        <v>390000</v>
      </c>
      <c r="I44" s="110">
        <v>390000</v>
      </c>
      <c r="J44" s="110">
        <v>390000</v>
      </c>
      <c r="K44" s="110">
        <v>390000</v>
      </c>
      <c r="L44" s="110">
        <v>390000</v>
      </c>
      <c r="M44" s="110">
        <v>390000</v>
      </c>
      <c r="N44" s="110">
        <v>390000</v>
      </c>
      <c r="O44" s="110">
        <v>390000</v>
      </c>
      <c r="P44" s="110">
        <v>390000</v>
      </c>
      <c r="Q44" s="349">
        <f t="shared" si="15"/>
        <v>4680000</v>
      </c>
      <c r="R44" s="350">
        <f>+Q44*(1+PROYECCIONES!H$22)</f>
        <v>4853160</v>
      </c>
      <c r="S44" s="110">
        <f>+R44*(1+PROYECCIONES!I$22)</f>
        <v>5018167.4400000004</v>
      </c>
      <c r="T44" s="110">
        <f>+S44*(1+PROYECCIONES!J$22)</f>
        <v>5183766.9655200001</v>
      </c>
      <c r="U44" s="349">
        <f>+T44*(1+PROYECCIONES!K$22)</f>
        <v>5370382.5762787201</v>
      </c>
    </row>
    <row r="45" spans="1:21" x14ac:dyDescent="0.25">
      <c r="A45" s="539"/>
      <c r="B45" s="532"/>
      <c r="C45" s="330" t="s">
        <v>335</v>
      </c>
      <c r="D45" s="330" t="s">
        <v>268</v>
      </c>
      <c r="E45" s="110">
        <v>250000</v>
      </c>
      <c r="F45" s="110">
        <v>250000</v>
      </c>
      <c r="G45" s="110">
        <v>250000</v>
      </c>
      <c r="H45" s="110">
        <v>250000</v>
      </c>
      <c r="I45" s="110">
        <v>250000</v>
      </c>
      <c r="J45" s="110">
        <v>250000</v>
      </c>
      <c r="K45" s="110">
        <v>250000</v>
      </c>
      <c r="L45" s="110">
        <v>250000</v>
      </c>
      <c r="M45" s="110">
        <v>250000</v>
      </c>
      <c r="N45" s="110">
        <v>250000</v>
      </c>
      <c r="O45" s="110">
        <v>250000</v>
      </c>
      <c r="P45" s="110">
        <v>250000</v>
      </c>
      <c r="Q45" s="349">
        <f t="shared" si="15"/>
        <v>3000000</v>
      </c>
      <c r="R45" s="350">
        <f>+Q45*(1+PROYECCIONES!H$22)</f>
        <v>3110999.9999999995</v>
      </c>
      <c r="S45" s="110">
        <f>+R45*(1+PROYECCIONES!I$22)</f>
        <v>3216773.9999999995</v>
      </c>
      <c r="T45" s="110">
        <f>+S45*(1+PROYECCIONES!J$22)</f>
        <v>3322927.5419999994</v>
      </c>
      <c r="U45" s="349">
        <f>+T45*(1+PROYECCIONES!K$22)</f>
        <v>3442552.9335119994</v>
      </c>
    </row>
    <row r="46" spans="1:21" x14ac:dyDescent="0.25">
      <c r="A46" s="539"/>
      <c r="B46" s="532"/>
      <c r="C46" s="330" t="s">
        <v>269</v>
      </c>
      <c r="D46" s="330" t="s">
        <v>268</v>
      </c>
      <c r="E46" s="110">
        <v>190000</v>
      </c>
      <c r="F46" s="110">
        <v>190000</v>
      </c>
      <c r="G46" s="110">
        <v>190000</v>
      </c>
      <c r="H46" s="110">
        <v>190000</v>
      </c>
      <c r="I46" s="110">
        <v>190000</v>
      </c>
      <c r="J46" s="110">
        <v>190000</v>
      </c>
      <c r="K46" s="110">
        <v>190000</v>
      </c>
      <c r="L46" s="110">
        <v>190000</v>
      </c>
      <c r="M46" s="110">
        <v>190000</v>
      </c>
      <c r="N46" s="110">
        <v>190000</v>
      </c>
      <c r="O46" s="110">
        <v>190000</v>
      </c>
      <c r="P46" s="110">
        <v>190000</v>
      </c>
      <c r="Q46" s="349">
        <f t="shared" si="15"/>
        <v>2280000</v>
      </c>
      <c r="R46" s="350">
        <f>+Q46*(1+PROYECCIONES!H$22)</f>
        <v>2364360</v>
      </c>
      <c r="S46" s="110">
        <f>+R46*(1+PROYECCIONES!I$22)</f>
        <v>2444748.2400000002</v>
      </c>
      <c r="T46" s="110">
        <f>+S46*(1+PROYECCIONES!J$22)</f>
        <v>2525424.9319199999</v>
      </c>
      <c r="U46" s="349">
        <f>+T46*(1+PROYECCIONES!K$22)</f>
        <v>2616340.22946912</v>
      </c>
    </row>
    <row r="47" spans="1:21" x14ac:dyDescent="0.25">
      <c r="A47" s="539"/>
      <c r="B47" s="532"/>
      <c r="C47" s="330" t="s">
        <v>256</v>
      </c>
      <c r="D47" s="330" t="s">
        <v>268</v>
      </c>
      <c r="E47" s="110">
        <v>200000</v>
      </c>
      <c r="F47" s="110">
        <v>0</v>
      </c>
      <c r="G47" s="110">
        <v>200000</v>
      </c>
      <c r="H47" s="110">
        <v>0</v>
      </c>
      <c r="I47" s="110">
        <v>200000</v>
      </c>
      <c r="J47" s="110">
        <v>0</v>
      </c>
      <c r="K47" s="110">
        <v>200000</v>
      </c>
      <c r="L47" s="110">
        <v>0</v>
      </c>
      <c r="M47" s="110">
        <v>200000</v>
      </c>
      <c r="N47" s="110">
        <v>0</v>
      </c>
      <c r="O47" s="110">
        <v>200000</v>
      </c>
      <c r="P47" s="110">
        <v>0</v>
      </c>
      <c r="Q47" s="349">
        <f t="shared" si="15"/>
        <v>1200000</v>
      </c>
      <c r="R47" s="350">
        <f>+Q47*(1+PROYECCIONES!H$22)</f>
        <v>1244400</v>
      </c>
      <c r="S47" s="110">
        <f>+R47*(1+PROYECCIONES!I$22)</f>
        <v>1286709.6000000001</v>
      </c>
      <c r="T47" s="110">
        <f>+S47*(1+PROYECCIONES!J$22)</f>
        <v>1329171.0168000001</v>
      </c>
      <c r="U47" s="349">
        <f>+T47*(1+PROYECCIONES!K$22)</f>
        <v>1377021.1734048002</v>
      </c>
    </row>
    <row r="48" spans="1:21" x14ac:dyDescent="0.25">
      <c r="A48" s="539"/>
      <c r="B48" s="532"/>
      <c r="C48" s="330" t="s">
        <v>342</v>
      </c>
      <c r="D48" s="330" t="s">
        <v>268</v>
      </c>
      <c r="E48" s="110">
        <v>130000</v>
      </c>
      <c r="F48" s="110">
        <v>130000</v>
      </c>
      <c r="G48" s="110">
        <v>130000</v>
      </c>
      <c r="H48" s="110">
        <v>130000</v>
      </c>
      <c r="I48" s="110">
        <v>130000</v>
      </c>
      <c r="J48" s="110">
        <v>130000</v>
      </c>
      <c r="K48" s="110">
        <v>130000</v>
      </c>
      <c r="L48" s="110">
        <v>130000</v>
      </c>
      <c r="M48" s="110">
        <v>130000</v>
      </c>
      <c r="N48" s="110">
        <v>130000</v>
      </c>
      <c r="O48" s="110">
        <v>130000</v>
      </c>
      <c r="P48" s="110">
        <v>130000</v>
      </c>
      <c r="Q48" s="349">
        <f t="shared" si="15"/>
        <v>1560000</v>
      </c>
      <c r="R48" s="350">
        <f>+Q48*(1+PROYECCIONES!H$22)</f>
        <v>1617719.9999999998</v>
      </c>
      <c r="S48" s="110">
        <f>+R48*(1+PROYECCIONES!I$22)</f>
        <v>1672722.4799999997</v>
      </c>
      <c r="T48" s="110">
        <f>+S48*(1+PROYECCIONES!J$22)</f>
        <v>1727922.3218399996</v>
      </c>
      <c r="U48" s="349">
        <f>+T48*(1+PROYECCIONES!K$22)</f>
        <v>1790127.5254262397</v>
      </c>
    </row>
    <row r="49" spans="1:21" x14ac:dyDescent="0.25">
      <c r="A49" s="539"/>
      <c r="B49" s="532"/>
      <c r="C49" s="330" t="s">
        <v>333</v>
      </c>
      <c r="D49" s="330" t="s">
        <v>268</v>
      </c>
      <c r="E49" s="110">
        <v>2000000</v>
      </c>
      <c r="F49" s="110">
        <v>2000000</v>
      </c>
      <c r="G49" s="110">
        <v>2000000</v>
      </c>
      <c r="H49" s="110">
        <v>2000000</v>
      </c>
      <c r="I49" s="110">
        <v>2000000</v>
      </c>
      <c r="J49" s="110">
        <v>2000000</v>
      </c>
      <c r="K49" s="110">
        <v>2000000</v>
      </c>
      <c r="L49" s="110">
        <v>2000000</v>
      </c>
      <c r="M49" s="110">
        <v>2000000</v>
      </c>
      <c r="N49" s="110">
        <v>2000000</v>
      </c>
      <c r="O49" s="110">
        <v>2000000</v>
      </c>
      <c r="P49" s="110">
        <v>2000000</v>
      </c>
      <c r="Q49" s="349">
        <f t="shared" si="15"/>
        <v>24000000</v>
      </c>
      <c r="R49" s="350">
        <f>+Q49*(1+PROYECCIONES!H$22)</f>
        <v>24887999.999999996</v>
      </c>
      <c r="S49" s="110">
        <f>+R49*(1+PROYECCIONES!I$22)</f>
        <v>25734191.999999996</v>
      </c>
      <c r="T49" s="110">
        <f>+S49*(1+PROYECCIONES!J$22)</f>
        <v>26583420.335999995</v>
      </c>
      <c r="U49" s="349">
        <f>+T49*(1+PROYECCIONES!K$22)</f>
        <v>27540423.468095995</v>
      </c>
    </row>
    <row r="50" spans="1:21" x14ac:dyDescent="0.25">
      <c r="A50" s="539"/>
      <c r="B50" s="532"/>
      <c r="C50" s="330" t="s">
        <v>257</v>
      </c>
      <c r="D50" s="330" t="s">
        <v>268</v>
      </c>
      <c r="E50" s="110">
        <v>8000000</v>
      </c>
      <c r="F50" s="110">
        <v>8000000</v>
      </c>
      <c r="G50" s="110">
        <v>8000000</v>
      </c>
      <c r="H50" s="110">
        <v>8000000</v>
      </c>
      <c r="I50" s="110">
        <v>8000000</v>
      </c>
      <c r="J50" s="110">
        <v>8000000</v>
      </c>
      <c r="K50" s="110">
        <v>8000000</v>
      </c>
      <c r="L50" s="110">
        <v>8000000</v>
      </c>
      <c r="M50" s="110">
        <v>8000000</v>
      </c>
      <c r="N50" s="110">
        <v>8000000</v>
      </c>
      <c r="O50" s="110">
        <v>8000000</v>
      </c>
      <c r="P50" s="110">
        <v>8000000</v>
      </c>
      <c r="Q50" s="349">
        <f>SUM(E50:P50)</f>
        <v>96000000</v>
      </c>
      <c r="R50" s="350">
        <f>+Q50*(1+PROYECCIONES!H$22)</f>
        <v>99551999.999999985</v>
      </c>
      <c r="S50" s="110">
        <f>+R50*(1-PROYECCIONES!I$22)</f>
        <v>96167231.999999985</v>
      </c>
      <c r="T50" s="110">
        <f>+S50*(1-PROYECCIONES!J$22)</f>
        <v>92993713.343999982</v>
      </c>
      <c r="U50" s="349">
        <f>+T50*(1-PROYECCIONES!K$22)</f>
        <v>89645939.663615987</v>
      </c>
    </row>
    <row r="51" spans="1:21" ht="15.75" thickBot="1" x14ac:dyDescent="0.3">
      <c r="A51" s="540"/>
      <c r="B51" s="533"/>
      <c r="C51" s="355" t="s">
        <v>345</v>
      </c>
      <c r="D51" s="355"/>
      <c r="E51" s="356">
        <f t="shared" ref="E51:U51" si="16">SUM(E35:E50)</f>
        <v>26458496</v>
      </c>
      <c r="F51" s="356">
        <f t="shared" si="16"/>
        <v>26258496</v>
      </c>
      <c r="G51" s="356">
        <f t="shared" si="16"/>
        <v>26458496</v>
      </c>
      <c r="H51" s="356">
        <f t="shared" si="16"/>
        <v>26258496</v>
      </c>
      <c r="I51" s="356">
        <f t="shared" si="16"/>
        <v>26458496</v>
      </c>
      <c r="J51" s="356">
        <f t="shared" si="16"/>
        <v>26258496</v>
      </c>
      <c r="K51" s="356">
        <f t="shared" si="16"/>
        <v>26458496</v>
      </c>
      <c r="L51" s="356">
        <f t="shared" si="16"/>
        <v>26258496</v>
      </c>
      <c r="M51" s="356">
        <f t="shared" si="16"/>
        <v>26458496</v>
      </c>
      <c r="N51" s="356">
        <f t="shared" si="16"/>
        <v>26258496</v>
      </c>
      <c r="O51" s="356">
        <f t="shared" si="16"/>
        <v>26458496</v>
      </c>
      <c r="P51" s="356">
        <f t="shared" si="16"/>
        <v>26258496</v>
      </c>
      <c r="Q51" s="357">
        <f t="shared" si="16"/>
        <v>316301952</v>
      </c>
      <c r="R51" s="358">
        <f t="shared" si="16"/>
        <v>328005124.22399998</v>
      </c>
      <c r="S51" s="356">
        <f t="shared" si="16"/>
        <v>332387762.44761598</v>
      </c>
      <c r="T51" s="356">
        <f t="shared" si="16"/>
        <v>337009521.29638726</v>
      </c>
      <c r="U51" s="357">
        <f t="shared" si="16"/>
        <v>342446316.70228922</v>
      </c>
    </row>
    <row r="52" spans="1:21" ht="40.5" x14ac:dyDescent="0.3">
      <c r="A52" s="541" t="s">
        <v>75</v>
      </c>
      <c r="B52" s="359" t="s">
        <v>347</v>
      </c>
      <c r="C52" s="360" t="s">
        <v>348</v>
      </c>
      <c r="D52" s="361" t="s">
        <v>341</v>
      </c>
      <c r="E52" s="361" t="s">
        <v>238</v>
      </c>
      <c r="F52" s="361" t="s">
        <v>239</v>
      </c>
      <c r="G52" s="361" t="s">
        <v>240</v>
      </c>
      <c r="H52" s="361" t="s">
        <v>241</v>
      </c>
      <c r="I52" s="361" t="s">
        <v>242</v>
      </c>
      <c r="J52" s="361" t="s">
        <v>243</v>
      </c>
      <c r="K52" s="361" t="s">
        <v>244</v>
      </c>
      <c r="L52" s="361" t="s">
        <v>245</v>
      </c>
      <c r="M52" s="361" t="s">
        <v>246</v>
      </c>
      <c r="N52" s="361" t="s">
        <v>247</v>
      </c>
      <c r="O52" s="361" t="s">
        <v>248</v>
      </c>
      <c r="P52" s="361" t="s">
        <v>249</v>
      </c>
      <c r="Q52" s="362" t="s">
        <v>250</v>
      </c>
      <c r="R52" s="363" t="s">
        <v>443</v>
      </c>
      <c r="S52" s="348" t="s">
        <v>444</v>
      </c>
      <c r="T52" s="348" t="s">
        <v>445</v>
      </c>
      <c r="U52" s="346" t="s">
        <v>446</v>
      </c>
    </row>
    <row r="53" spans="1:21" ht="14.25" customHeight="1" x14ac:dyDescent="0.25">
      <c r="A53" s="542"/>
      <c r="B53" s="530" t="s">
        <v>332</v>
      </c>
      <c r="C53" s="364" t="s">
        <v>261</v>
      </c>
      <c r="D53" s="364" t="s">
        <v>267</v>
      </c>
      <c r="E53" s="82">
        <f>+PROYECCIONES!$I$43</f>
        <v>8076499.9999999981</v>
      </c>
      <c r="F53" s="82">
        <f>+PROYECCIONES!$I$43</f>
        <v>8076499.9999999981</v>
      </c>
      <c r="G53" s="82">
        <f>+PROYECCIONES!$I$43</f>
        <v>8076499.9999999981</v>
      </c>
      <c r="H53" s="82">
        <f>+PROYECCIONES!$I$43</f>
        <v>8076499.9999999981</v>
      </c>
      <c r="I53" s="82">
        <f>+PROYECCIONES!$I$43</f>
        <v>8076499.9999999981</v>
      </c>
      <c r="J53" s="82">
        <f>+PROYECCIONES!$I$43</f>
        <v>8076499.9999999981</v>
      </c>
      <c r="K53" s="82">
        <f>+PROYECCIONES!$I$43</f>
        <v>8076499.9999999981</v>
      </c>
      <c r="L53" s="82">
        <f>+PROYECCIONES!$I$43</f>
        <v>8076499.9999999981</v>
      </c>
      <c r="M53" s="82">
        <f>+PROYECCIONES!$I$43</f>
        <v>8076499.9999999981</v>
      </c>
      <c r="N53" s="82">
        <f>+PROYECCIONES!$I$43</f>
        <v>8076499.9999999981</v>
      </c>
      <c r="O53" s="82">
        <f>+PROYECCIONES!$I$43</f>
        <v>8076499.9999999981</v>
      </c>
      <c r="P53" s="82">
        <f>+PROYECCIONES!$I$43</f>
        <v>8076499.9999999981</v>
      </c>
      <c r="Q53" s="365">
        <f t="shared" si="15"/>
        <v>96917999.999999985</v>
      </c>
      <c r="R53" s="366">
        <f>+Q53*(1+PROYECCIONES!H$22)</f>
        <v>100503965.99999997</v>
      </c>
      <c r="S53" s="110">
        <f>+R53*(1+PROYECCIONES!I$22)</f>
        <v>103921100.84399997</v>
      </c>
      <c r="T53" s="110">
        <f>+S53*(1+PROYECCIONES!J$22)</f>
        <v>107350497.17185196</v>
      </c>
      <c r="U53" s="349">
        <f>+T53*(1+PROYECCIONES!K$22)</f>
        <v>111215115.07003863</v>
      </c>
    </row>
    <row r="54" spans="1:21" x14ac:dyDescent="0.25">
      <c r="A54" s="542"/>
      <c r="B54" s="530"/>
      <c r="C54" s="364" t="s">
        <v>262</v>
      </c>
      <c r="D54" s="364" t="s">
        <v>267</v>
      </c>
      <c r="E54" s="82">
        <f>+PROYECCIONES!$I$46+PROYECCIONES!$I$48</f>
        <v>16645833.333333332</v>
      </c>
      <c r="F54" s="82">
        <v>3000000</v>
      </c>
      <c r="G54" s="82">
        <v>3000000</v>
      </c>
      <c r="H54" s="82">
        <v>3000000</v>
      </c>
      <c r="I54" s="82">
        <v>3000000</v>
      </c>
      <c r="J54" s="82">
        <v>3000000</v>
      </c>
      <c r="K54" s="82">
        <v>3000000</v>
      </c>
      <c r="L54" s="82">
        <v>3000000</v>
      </c>
      <c r="M54" s="82">
        <v>3000000</v>
      </c>
      <c r="N54" s="82">
        <v>3000000</v>
      </c>
      <c r="O54" s="82">
        <v>3000000</v>
      </c>
      <c r="P54" s="82">
        <v>3000000</v>
      </c>
      <c r="Q54" s="365">
        <f t="shared" si="15"/>
        <v>49645833.333333328</v>
      </c>
      <c r="R54" s="366">
        <f>+Q54*(1+PROYECCIONES!H$22)</f>
        <v>51482729.166666657</v>
      </c>
      <c r="S54" s="110">
        <f>+R54*(1+PROYECCIONES!I$22)</f>
        <v>53233141.958333321</v>
      </c>
      <c r="T54" s="110">
        <f>+S54*(1+PROYECCIONES!J$22)</f>
        <v>54989835.642958313</v>
      </c>
      <c r="U54" s="349">
        <f>+T54*(1+PROYECCIONES!K$22)</f>
        <v>56969469.726104811</v>
      </c>
    </row>
    <row r="55" spans="1:21" x14ac:dyDescent="0.25">
      <c r="A55" s="542"/>
      <c r="B55" s="530"/>
      <c r="C55" s="364" t="s">
        <v>263</v>
      </c>
      <c r="D55" s="364" t="s">
        <v>267</v>
      </c>
      <c r="E55" s="82">
        <f>+PROYECCIONES!$I$50</f>
        <v>1500000</v>
      </c>
      <c r="F55" s="82">
        <v>1000000</v>
      </c>
      <c r="G55" s="82">
        <v>1000000</v>
      </c>
      <c r="H55" s="82">
        <v>1000000</v>
      </c>
      <c r="I55" s="82">
        <v>1000000</v>
      </c>
      <c r="J55" s="82">
        <v>1000000</v>
      </c>
      <c r="K55" s="82">
        <v>1000000</v>
      </c>
      <c r="L55" s="82">
        <v>1000000</v>
      </c>
      <c r="M55" s="82">
        <v>1000000</v>
      </c>
      <c r="N55" s="82">
        <v>1000000</v>
      </c>
      <c r="O55" s="82">
        <v>1000000</v>
      </c>
      <c r="P55" s="82">
        <v>1000000</v>
      </c>
      <c r="Q55" s="365">
        <f t="shared" si="15"/>
        <v>12500000</v>
      </c>
      <c r="R55" s="366">
        <f>+Q55*(1+PROYECCIONES!H$22)</f>
        <v>12962499.999999998</v>
      </c>
      <c r="S55" s="110">
        <f>+R55*(1+PROYECCIONES!I$22)</f>
        <v>13403224.999999998</v>
      </c>
      <c r="T55" s="110">
        <f>+S55*(1+PROYECCIONES!J$22)</f>
        <v>13845531.424999997</v>
      </c>
      <c r="U55" s="349">
        <f>+T55*(1+PROYECCIONES!K$22)</f>
        <v>14343970.556299997</v>
      </c>
    </row>
    <row r="56" spans="1:21" x14ac:dyDescent="0.25">
      <c r="A56" s="542"/>
      <c r="B56" s="530"/>
      <c r="C56" s="364" t="s">
        <v>264</v>
      </c>
      <c r="D56" s="364" t="s">
        <v>267</v>
      </c>
      <c r="E56" s="82">
        <f>+PROYECCIONES!$I$51</f>
        <v>800000</v>
      </c>
      <c r="F56" s="82">
        <v>600000</v>
      </c>
      <c r="G56" s="82">
        <v>600000</v>
      </c>
      <c r="H56" s="82">
        <v>600000</v>
      </c>
      <c r="I56" s="82">
        <v>600000</v>
      </c>
      <c r="J56" s="82">
        <v>600000</v>
      </c>
      <c r="K56" s="82">
        <v>600000</v>
      </c>
      <c r="L56" s="82">
        <v>600000</v>
      </c>
      <c r="M56" s="82">
        <v>600000</v>
      </c>
      <c r="N56" s="82">
        <v>600000</v>
      </c>
      <c r="O56" s="82">
        <v>600000</v>
      </c>
      <c r="P56" s="82">
        <v>600000</v>
      </c>
      <c r="Q56" s="365">
        <f t="shared" si="15"/>
        <v>7400000</v>
      </c>
      <c r="R56" s="366">
        <f>+Q56*(1+PROYECCIONES!H$22)</f>
        <v>7673799.9999999991</v>
      </c>
      <c r="S56" s="110">
        <f>+R56*(1+PROYECCIONES!I$22)</f>
        <v>7934709.1999999993</v>
      </c>
      <c r="T56" s="110">
        <f>+S56*(1+PROYECCIONES!J$22)</f>
        <v>8196554.6035999982</v>
      </c>
      <c r="U56" s="349">
        <f>+T56*(1+PROYECCIONES!K$22)</f>
        <v>8491630.5693295989</v>
      </c>
    </row>
    <row r="57" spans="1:21" ht="15.75" thickBot="1" x14ac:dyDescent="0.3">
      <c r="A57" s="542"/>
      <c r="B57" s="530"/>
      <c r="C57" s="364" t="s">
        <v>265</v>
      </c>
      <c r="D57" s="364" t="s">
        <v>267</v>
      </c>
      <c r="E57" s="82">
        <f>+PROYECCIONES!$I$52</f>
        <v>800000</v>
      </c>
      <c r="F57" s="82">
        <v>700000</v>
      </c>
      <c r="G57" s="82">
        <v>700000</v>
      </c>
      <c r="H57" s="82">
        <v>700000</v>
      </c>
      <c r="I57" s="82">
        <v>700000</v>
      </c>
      <c r="J57" s="82">
        <v>700000</v>
      </c>
      <c r="K57" s="82">
        <v>700000</v>
      </c>
      <c r="L57" s="82">
        <v>700000</v>
      </c>
      <c r="M57" s="82">
        <v>700000</v>
      </c>
      <c r="N57" s="82">
        <v>700000</v>
      </c>
      <c r="O57" s="82">
        <v>700000</v>
      </c>
      <c r="P57" s="82">
        <v>700000</v>
      </c>
      <c r="Q57" s="365">
        <f>SUM(E57:P57)</f>
        <v>8500000</v>
      </c>
      <c r="R57" s="367">
        <f>+Q57*(1-PROYECCIONES!H$22)</f>
        <v>8185500</v>
      </c>
      <c r="S57" s="368">
        <f>+R57*(1-PROYECCIONES!I$22)</f>
        <v>7907193</v>
      </c>
      <c r="T57" s="368">
        <f>+S57*(1-PROYECCIONES!J$22)</f>
        <v>7646255.6310000001</v>
      </c>
      <c r="U57" s="369">
        <f>+T57*(1-PROYECCIONES!K$22)</f>
        <v>7370990.4282839997</v>
      </c>
    </row>
    <row r="58" spans="1:21" ht="15.75" thickBot="1" x14ac:dyDescent="0.3">
      <c r="A58" s="543"/>
      <c r="B58" s="531"/>
      <c r="C58" s="370" t="s">
        <v>346</v>
      </c>
      <c r="D58" s="371"/>
      <c r="E58" s="371">
        <f>SUM(E53:E57)</f>
        <v>27822333.333333328</v>
      </c>
      <c r="F58" s="371">
        <f t="shared" ref="F58:P58" si="17">SUM(F53:F57)</f>
        <v>13376499.999999998</v>
      </c>
      <c r="G58" s="371">
        <f t="shared" si="17"/>
        <v>13376499.999999998</v>
      </c>
      <c r="H58" s="371">
        <f t="shared" si="17"/>
        <v>13376499.999999998</v>
      </c>
      <c r="I58" s="371">
        <f t="shared" si="17"/>
        <v>13376499.999999998</v>
      </c>
      <c r="J58" s="371">
        <f t="shared" si="17"/>
        <v>13376499.999999998</v>
      </c>
      <c r="K58" s="371">
        <f t="shared" si="17"/>
        <v>13376499.999999998</v>
      </c>
      <c r="L58" s="371">
        <f t="shared" si="17"/>
        <v>13376499.999999998</v>
      </c>
      <c r="M58" s="371">
        <f t="shared" si="17"/>
        <v>13376499.999999998</v>
      </c>
      <c r="N58" s="371">
        <f t="shared" si="17"/>
        <v>13376499.999999998</v>
      </c>
      <c r="O58" s="371">
        <f>SUM(O53:O57)</f>
        <v>13376499.999999998</v>
      </c>
      <c r="P58" s="371">
        <f t="shared" si="17"/>
        <v>13376499.999999998</v>
      </c>
      <c r="Q58" s="372">
        <f>SUM(Q53:Q57)</f>
        <v>174963833.33333331</v>
      </c>
      <c r="R58" s="372">
        <f>SUM(R53:R57)</f>
        <v>180808495.16666663</v>
      </c>
      <c r="S58" s="372">
        <f t="shared" ref="S58:U58" si="18">SUM(S53:S57)</f>
        <v>186399370.00233328</v>
      </c>
      <c r="T58" s="372">
        <f t="shared" si="18"/>
        <v>192028674.4744103</v>
      </c>
      <c r="U58" s="372">
        <f t="shared" si="18"/>
        <v>198391176.35005701</v>
      </c>
    </row>
    <row r="59" spans="1:21" x14ac:dyDescent="0.25">
      <c r="C59" s="373"/>
      <c r="D59" s="170"/>
      <c r="E59" s="170"/>
      <c r="F59" s="170"/>
      <c r="G59" s="170"/>
      <c r="H59" s="170"/>
      <c r="I59" s="170"/>
      <c r="J59" s="170"/>
      <c r="K59" s="170"/>
      <c r="L59" s="170"/>
      <c r="M59" s="170"/>
      <c r="N59" s="170"/>
      <c r="O59" s="170"/>
      <c r="P59" s="170"/>
      <c r="Q59" s="170"/>
      <c r="R59" s="170"/>
    </row>
    <row r="60" spans="1:21" ht="40.5" x14ac:dyDescent="0.3">
      <c r="B60" s="535" t="s">
        <v>347</v>
      </c>
      <c r="C60" s="535"/>
      <c r="D60" s="535"/>
      <c r="E60" s="374" t="s">
        <v>238</v>
      </c>
      <c r="F60" s="374" t="s">
        <v>239</v>
      </c>
      <c r="G60" s="374" t="s">
        <v>240</v>
      </c>
      <c r="H60" s="374" t="s">
        <v>241</v>
      </c>
      <c r="I60" s="374" t="s">
        <v>242</v>
      </c>
      <c r="J60" s="374" t="s">
        <v>243</v>
      </c>
      <c r="K60" s="374" t="s">
        <v>244</v>
      </c>
      <c r="L60" s="374" t="s">
        <v>245</v>
      </c>
      <c r="M60" s="374" t="s">
        <v>246</v>
      </c>
      <c r="N60" s="374" t="s">
        <v>247</v>
      </c>
      <c r="O60" s="374" t="s">
        <v>248</v>
      </c>
      <c r="P60" s="374" t="s">
        <v>249</v>
      </c>
      <c r="Q60" s="375" t="s">
        <v>250</v>
      </c>
      <c r="R60" s="170"/>
    </row>
    <row r="61" spans="1:21" ht="28.5" customHeight="1" x14ac:dyDescent="0.3">
      <c r="B61" s="534" t="s">
        <v>270</v>
      </c>
      <c r="C61" s="534"/>
      <c r="D61" s="534"/>
      <c r="E61" s="82">
        <f t="shared" ref="E61:P61" si="19">+E34+E51+E58</f>
        <v>70526201.333333328</v>
      </c>
      <c r="F61" s="82">
        <f t="shared" si="19"/>
        <v>52380368</v>
      </c>
      <c r="G61" s="82">
        <f t="shared" si="19"/>
        <v>55580368</v>
      </c>
      <c r="H61" s="82">
        <f t="shared" si="19"/>
        <v>52380368</v>
      </c>
      <c r="I61" s="82">
        <f t="shared" si="19"/>
        <v>55580368</v>
      </c>
      <c r="J61" s="82">
        <f t="shared" si="19"/>
        <v>52380368</v>
      </c>
      <c r="K61" s="82">
        <f t="shared" si="19"/>
        <v>55580368</v>
      </c>
      <c r="L61" s="82">
        <f t="shared" si="19"/>
        <v>52380368</v>
      </c>
      <c r="M61" s="82">
        <f t="shared" si="19"/>
        <v>55580368</v>
      </c>
      <c r="N61" s="82">
        <f t="shared" si="19"/>
        <v>52380368</v>
      </c>
      <c r="O61" s="82">
        <f t="shared" si="19"/>
        <v>55580368</v>
      </c>
      <c r="P61" s="82">
        <f t="shared" si="19"/>
        <v>52380368</v>
      </c>
      <c r="Q61" s="82">
        <f t="shared" ref="Q61" si="20">SUM(E61:P61)</f>
        <v>662710249.33333325</v>
      </c>
      <c r="R61" s="82">
        <f>+R34+R51+R58</f>
        <v>686601528.55866659</v>
      </c>
      <c r="S61" s="82">
        <f>+S34+S51+S58</f>
        <v>702619830.5296613</v>
      </c>
      <c r="T61" s="82">
        <f>+T34+T51+T58</f>
        <v>718937372.88714004</v>
      </c>
      <c r="U61" s="82">
        <f>+U34+U51+U58</f>
        <v>737573040.54487705</v>
      </c>
    </row>
    <row r="62" spans="1:21" x14ac:dyDescent="0.25">
      <c r="C62" s="373"/>
      <c r="F62" s="28"/>
      <c r="G62" s="170"/>
      <c r="H62" s="170"/>
      <c r="I62" s="170"/>
      <c r="J62" s="170"/>
      <c r="K62" s="170"/>
      <c r="L62" s="170"/>
      <c r="M62" s="170"/>
      <c r="N62" s="170"/>
      <c r="O62" s="170"/>
      <c r="P62" s="82" t="s">
        <v>352</v>
      </c>
      <c r="Q62" s="376">
        <f>+Q51/Q61</f>
        <v>0.47728543857317784</v>
      </c>
      <c r="R62" s="170"/>
    </row>
    <row r="63" spans="1:21" x14ac:dyDescent="0.25">
      <c r="C63" s="373"/>
      <c r="F63" s="28"/>
      <c r="G63" s="170"/>
      <c r="H63" s="170"/>
      <c r="I63" s="170"/>
      <c r="J63" s="170"/>
      <c r="K63" s="170"/>
      <c r="L63" s="170"/>
      <c r="M63" s="170"/>
      <c r="N63" s="170"/>
      <c r="O63" s="170"/>
      <c r="P63" s="170"/>
      <c r="Q63" s="170"/>
      <c r="R63" s="170"/>
    </row>
    <row r="64" spans="1:21" x14ac:dyDescent="0.25">
      <c r="C64" s="373"/>
      <c r="F64" s="28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</row>
    <row r="65" spans="3:19" x14ac:dyDescent="0.25">
      <c r="C65" s="373"/>
      <c r="E65" s="80" t="s">
        <v>35</v>
      </c>
      <c r="F65" s="80" t="s">
        <v>36</v>
      </c>
      <c r="G65" s="80" t="s">
        <v>37</v>
      </c>
      <c r="H65" s="80" t="s">
        <v>38</v>
      </c>
      <c r="I65" s="80" t="s">
        <v>39</v>
      </c>
      <c r="J65" s="80" t="s">
        <v>40</v>
      </c>
      <c r="K65" s="170"/>
      <c r="L65" s="170"/>
      <c r="M65" s="170"/>
      <c r="N65" s="170"/>
      <c r="O65" s="170"/>
      <c r="P65" s="170"/>
      <c r="Q65" s="170"/>
      <c r="R65" s="170"/>
    </row>
    <row r="66" spans="3:19" x14ac:dyDescent="0.25">
      <c r="C66" s="373"/>
      <c r="F66" s="28"/>
      <c r="G66" s="170"/>
      <c r="H66" s="170"/>
      <c r="I66" s="170"/>
      <c r="J66" s="170"/>
      <c r="K66" s="170"/>
      <c r="L66" s="170"/>
      <c r="M66" s="170"/>
      <c r="N66" s="170"/>
      <c r="O66" s="170"/>
      <c r="P66" s="170"/>
      <c r="Q66" s="170"/>
      <c r="R66" s="170"/>
    </row>
    <row r="67" spans="3:19" x14ac:dyDescent="0.25">
      <c r="C67" s="544" t="s">
        <v>270</v>
      </c>
      <c r="D67" s="544"/>
      <c r="E67" s="82"/>
      <c r="F67" s="82">
        <f>+Q61</f>
        <v>662710249.33333325</v>
      </c>
      <c r="G67" s="82">
        <f t="shared" ref="G67:J67" si="21">+R61</f>
        <v>686601528.55866659</v>
      </c>
      <c r="H67" s="82">
        <f t="shared" si="21"/>
        <v>702619830.5296613</v>
      </c>
      <c r="I67" s="82">
        <f t="shared" si="21"/>
        <v>718937372.88714004</v>
      </c>
      <c r="J67" s="82">
        <f t="shared" si="21"/>
        <v>737573040.54487705</v>
      </c>
      <c r="K67" s="170"/>
      <c r="L67" s="170"/>
      <c r="M67" s="170"/>
      <c r="N67" s="170"/>
      <c r="O67" s="170"/>
      <c r="P67" s="170"/>
      <c r="Q67" s="170"/>
      <c r="R67" s="170"/>
    </row>
    <row r="68" spans="3:19" x14ac:dyDescent="0.25">
      <c r="C68" s="373"/>
      <c r="D68" s="170"/>
      <c r="E68" s="28"/>
      <c r="F68" s="28"/>
      <c r="G68" s="28"/>
      <c r="H68" s="170"/>
      <c r="I68" s="170"/>
      <c r="J68" s="170"/>
      <c r="K68" s="170"/>
      <c r="L68" s="170"/>
      <c r="M68" s="170"/>
      <c r="N68" s="170"/>
      <c r="O68" s="170"/>
      <c r="P68" s="170"/>
      <c r="Q68" s="170"/>
      <c r="R68" s="170"/>
      <c r="S68" s="170"/>
    </row>
    <row r="69" spans="3:19" x14ac:dyDescent="0.25">
      <c r="C69" s="377"/>
      <c r="D69" s="170"/>
      <c r="E69" s="170"/>
      <c r="F69" s="28"/>
      <c r="G69" s="28"/>
      <c r="H69" s="28"/>
      <c r="I69" s="170"/>
      <c r="J69" s="170"/>
      <c r="K69" s="170"/>
      <c r="L69" s="170"/>
      <c r="M69" s="170"/>
      <c r="N69" s="170"/>
      <c r="O69" s="170"/>
      <c r="P69" s="170"/>
      <c r="Q69" s="170"/>
      <c r="R69" s="170"/>
      <c r="S69" s="170"/>
    </row>
    <row r="70" spans="3:19" x14ac:dyDescent="0.25">
      <c r="C70" s="377"/>
      <c r="D70" s="170"/>
      <c r="E70" s="170"/>
      <c r="F70" s="28"/>
      <c r="G70" s="28"/>
      <c r="H70" s="28"/>
      <c r="I70" s="170"/>
      <c r="J70" s="170"/>
      <c r="K70" s="170"/>
      <c r="L70" s="170"/>
      <c r="M70" s="170"/>
      <c r="N70" s="170"/>
      <c r="O70" s="170"/>
      <c r="P70" s="170"/>
      <c r="Q70" s="170"/>
      <c r="R70" s="170"/>
      <c r="S70" s="170"/>
    </row>
    <row r="71" spans="3:19" x14ac:dyDescent="0.25">
      <c r="C71" s="377"/>
      <c r="D71" s="170"/>
      <c r="E71" s="170"/>
      <c r="F71" s="28"/>
      <c r="G71" s="28"/>
      <c r="H71" s="28"/>
      <c r="I71" s="170"/>
      <c r="J71" s="170"/>
      <c r="K71" s="170"/>
      <c r="L71" s="170"/>
      <c r="M71" s="170"/>
      <c r="N71" s="170"/>
      <c r="O71" s="170"/>
      <c r="P71" s="170"/>
      <c r="Q71" s="170"/>
      <c r="R71" s="170"/>
      <c r="S71" s="170"/>
    </row>
    <row r="72" spans="3:19" x14ac:dyDescent="0.25">
      <c r="C72" s="536" t="s">
        <v>451</v>
      </c>
      <c r="D72" s="536"/>
      <c r="E72" s="157" t="s">
        <v>35</v>
      </c>
      <c r="F72" s="157" t="s">
        <v>36</v>
      </c>
      <c r="G72" s="157" t="s">
        <v>37</v>
      </c>
      <c r="H72" s="157" t="s">
        <v>38</v>
      </c>
      <c r="I72" s="157" t="s">
        <v>39</v>
      </c>
      <c r="J72" s="157" t="s">
        <v>40</v>
      </c>
      <c r="K72" s="170"/>
      <c r="L72" s="170"/>
      <c r="M72" s="170"/>
      <c r="N72" s="170"/>
      <c r="O72" s="170"/>
      <c r="P72" s="170"/>
      <c r="Q72" s="170"/>
      <c r="R72" s="170"/>
      <c r="S72" s="170"/>
    </row>
    <row r="73" spans="3:19" x14ac:dyDescent="0.25">
      <c r="C73" s="537" t="s">
        <v>266</v>
      </c>
      <c r="D73" s="537"/>
      <c r="E73" s="82"/>
      <c r="F73" s="82">
        <f>SUMIFS(Q23:Q58,$D$23:$D$58,$C$73)</f>
        <v>171444464</v>
      </c>
      <c r="G73" s="82">
        <f t="shared" ref="G73:J73" si="22">SUMIFS(R23:R58,$D$23:$D$58,$C$73)</f>
        <v>177787909.16799998</v>
      </c>
      <c r="H73" s="82">
        <f t="shared" si="22"/>
        <v>183832698.07971203</v>
      </c>
      <c r="I73" s="82">
        <f t="shared" si="22"/>
        <v>189899177.11634243</v>
      </c>
      <c r="J73" s="82">
        <f t="shared" si="22"/>
        <v>196735547.49253082</v>
      </c>
      <c r="K73" s="170"/>
      <c r="L73" s="170"/>
      <c r="M73" s="170"/>
      <c r="N73" s="170"/>
      <c r="O73" s="170"/>
      <c r="P73" s="170"/>
      <c r="Q73" s="170"/>
      <c r="R73" s="170"/>
      <c r="S73" s="170"/>
    </row>
    <row r="74" spans="3:19" x14ac:dyDescent="0.25">
      <c r="C74" s="537" t="s">
        <v>268</v>
      </c>
      <c r="D74" s="537"/>
      <c r="E74" s="82"/>
      <c r="F74" s="82">
        <f>SUMIFS(Q23:Q58,$D$23:$D$58,$C$74)</f>
        <v>316301952</v>
      </c>
      <c r="G74" s="82">
        <f t="shared" ref="G74:J74" si="23">SUMIFS(R23:R58,$D$23:$D$58,$C$74)</f>
        <v>328005124.22399998</v>
      </c>
      <c r="H74" s="82">
        <f t="shared" si="23"/>
        <v>332387762.44761598</v>
      </c>
      <c r="I74" s="82">
        <f t="shared" si="23"/>
        <v>337009521.29638726</v>
      </c>
      <c r="J74" s="82">
        <f t="shared" si="23"/>
        <v>342446316.70228922</v>
      </c>
      <c r="K74" s="170"/>
      <c r="L74" s="170"/>
      <c r="M74" s="170"/>
      <c r="N74" s="170"/>
      <c r="O74" s="170"/>
      <c r="P74" s="170"/>
      <c r="Q74" s="170"/>
      <c r="R74" s="170"/>
      <c r="S74" s="170"/>
    </row>
    <row r="75" spans="3:19" x14ac:dyDescent="0.25">
      <c r="C75" s="537" t="s">
        <v>267</v>
      </c>
      <c r="D75" s="537"/>
      <c r="E75" s="82"/>
      <c r="F75" s="151">
        <f>SUMIFS(Q23:Q58,$D$23:$D$58,$C$75)</f>
        <v>174963833.33333331</v>
      </c>
      <c r="G75" s="151">
        <f t="shared" ref="G75:J75" si="24">SUMIFS(R23:R58,$D$23:$D$58,$C$75)</f>
        <v>180808495.16666663</v>
      </c>
      <c r="H75" s="151">
        <f t="shared" si="24"/>
        <v>186399370.00233328</v>
      </c>
      <c r="I75" s="151">
        <f t="shared" si="24"/>
        <v>192028674.4744103</v>
      </c>
      <c r="J75" s="151">
        <f t="shared" si="24"/>
        <v>198391176.35005701</v>
      </c>
      <c r="K75" s="170"/>
      <c r="L75" s="170"/>
      <c r="M75" s="170"/>
      <c r="N75" s="170"/>
      <c r="O75" s="170"/>
      <c r="P75" s="170"/>
      <c r="Q75" s="170"/>
      <c r="R75" s="170"/>
      <c r="S75" s="170"/>
    </row>
    <row r="76" spans="3:19" x14ac:dyDescent="0.25">
      <c r="C76" s="377"/>
      <c r="D76" s="170"/>
      <c r="E76" s="170"/>
      <c r="F76" s="335">
        <f>SUM(F73:F75)</f>
        <v>662710249.33333325</v>
      </c>
      <c r="G76" s="335">
        <f t="shared" ref="G76:J76" si="25">SUM(G73:G75)</f>
        <v>686601528.55866659</v>
      </c>
      <c r="H76" s="335">
        <f t="shared" si="25"/>
        <v>702619830.5296613</v>
      </c>
      <c r="I76" s="335">
        <f t="shared" si="25"/>
        <v>718937372.88714004</v>
      </c>
      <c r="J76" s="335">
        <f t="shared" si="25"/>
        <v>737573040.54487705</v>
      </c>
      <c r="K76" s="170"/>
      <c r="L76" s="170"/>
      <c r="M76" s="170"/>
      <c r="N76" s="170"/>
      <c r="O76" s="170"/>
      <c r="P76" s="170"/>
      <c r="Q76" s="170"/>
      <c r="R76" s="170"/>
      <c r="S76" s="170"/>
    </row>
    <row r="77" spans="3:19" x14ac:dyDescent="0.25">
      <c r="C77" s="377"/>
      <c r="D77" s="170"/>
      <c r="E77" s="170"/>
      <c r="F77" s="170"/>
      <c r="G77" s="170"/>
      <c r="H77" s="170"/>
      <c r="I77" s="170"/>
      <c r="J77" s="170"/>
      <c r="K77" s="170"/>
      <c r="L77" s="170"/>
      <c r="M77" s="170"/>
      <c r="N77" s="170"/>
      <c r="O77" s="170"/>
      <c r="P77" s="170"/>
      <c r="Q77" s="170"/>
      <c r="R77" s="170"/>
    </row>
    <row r="78" spans="3:19" x14ac:dyDescent="0.25">
      <c r="C78" s="377"/>
      <c r="D78" s="170"/>
      <c r="E78" s="170"/>
      <c r="F78" s="170"/>
      <c r="G78" s="170"/>
      <c r="H78" s="170"/>
      <c r="I78" s="170"/>
      <c r="J78" s="170"/>
      <c r="K78" s="170"/>
    </row>
    <row r="79" spans="3:19" x14ac:dyDescent="0.25">
      <c r="C79" s="373"/>
      <c r="D79" s="170"/>
      <c r="E79" s="170"/>
      <c r="F79" s="170"/>
      <c r="G79" s="170"/>
      <c r="H79" s="170"/>
      <c r="I79" s="170"/>
    </row>
    <row r="80" spans="3:19" x14ac:dyDescent="0.25">
      <c r="C80" s="373"/>
      <c r="D80" s="170"/>
      <c r="E80" s="170"/>
      <c r="F80" s="170"/>
      <c r="G80" s="170"/>
      <c r="H80" s="170"/>
      <c r="I80" s="170"/>
    </row>
    <row r="81" spans="3:9" x14ac:dyDescent="0.25">
      <c r="C81" s="373"/>
      <c r="D81" s="170"/>
      <c r="E81" s="170"/>
      <c r="F81" s="170"/>
      <c r="G81" s="170"/>
      <c r="H81" s="170"/>
      <c r="I81" s="170"/>
    </row>
    <row r="82" spans="3:9" x14ac:dyDescent="0.25">
      <c r="C82" s="170"/>
      <c r="D82" s="170"/>
      <c r="E82" s="170"/>
      <c r="F82" s="170"/>
      <c r="G82" s="170"/>
      <c r="H82" s="170"/>
      <c r="I82" s="170"/>
    </row>
    <row r="83" spans="3:9" x14ac:dyDescent="0.25">
      <c r="C83" s="170"/>
      <c r="D83" s="170"/>
      <c r="E83" s="170"/>
      <c r="F83" s="170"/>
      <c r="G83" s="170"/>
      <c r="H83" s="170"/>
      <c r="I83" s="170"/>
    </row>
    <row r="84" spans="3:9" x14ac:dyDescent="0.25">
      <c r="I84" s="170"/>
    </row>
  </sheetData>
  <mergeCells count="13">
    <mergeCell ref="C72:D72"/>
    <mergeCell ref="C73:D73"/>
    <mergeCell ref="C74:D74"/>
    <mergeCell ref="C75:D75"/>
    <mergeCell ref="A23:A51"/>
    <mergeCell ref="A52:A58"/>
    <mergeCell ref="C67:D67"/>
    <mergeCell ref="B1:E1"/>
    <mergeCell ref="B23:B34"/>
    <mergeCell ref="B53:B58"/>
    <mergeCell ref="B35:B51"/>
    <mergeCell ref="B61:D61"/>
    <mergeCell ref="B60:D60"/>
  </mergeCell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00B050"/>
  </sheetPr>
  <dimension ref="A1:AQ172"/>
  <sheetViews>
    <sheetView showGridLines="0" tabSelected="1" topLeftCell="A160" zoomScaleNormal="100" workbookViewId="0">
      <selection activeCell="B170" sqref="B170"/>
    </sheetView>
  </sheetViews>
  <sheetFormatPr baseColWidth="10" defaultRowHeight="24" customHeight="1" x14ac:dyDescent="0.25"/>
  <cols>
    <col min="1" max="1" width="27.7109375" style="28" customWidth="1"/>
    <col min="2" max="2" width="17" style="28" customWidth="1"/>
    <col min="3" max="3" width="26" style="28" customWidth="1"/>
    <col min="4" max="4" width="19.28515625" style="28" customWidth="1"/>
    <col min="5" max="5" width="19.7109375" style="28" customWidth="1"/>
    <col min="6" max="10" width="16.7109375" style="28" customWidth="1"/>
    <col min="11" max="11" width="19.7109375" style="28" bestFit="1" customWidth="1"/>
    <col min="12" max="12" width="15.85546875" style="28" customWidth="1"/>
    <col min="13" max="13" width="19" style="28" customWidth="1"/>
    <col min="14" max="14" width="11.42578125" style="28"/>
    <col min="15" max="15" width="20.85546875" style="28" bestFit="1" customWidth="1"/>
    <col min="16" max="16" width="12.5703125" style="28" bestFit="1" customWidth="1"/>
    <col min="17" max="18" width="12.42578125" style="28" bestFit="1" customWidth="1"/>
    <col min="19" max="21" width="12.7109375" style="28" bestFit="1" customWidth="1"/>
    <col min="22" max="26" width="11.42578125" style="28"/>
    <col min="27" max="27" width="18.28515625" style="28" customWidth="1"/>
    <col min="28" max="28" width="22.7109375" style="28" customWidth="1"/>
    <col min="29" max="29" width="18.28515625" style="29" customWidth="1"/>
    <col min="30" max="30" width="21.5703125" style="29" customWidth="1"/>
    <col min="31" max="31" width="15.85546875" style="28" customWidth="1"/>
    <col min="32" max="32" width="14" style="28" customWidth="1"/>
    <col min="33" max="33" width="13.5703125" style="28" bestFit="1" customWidth="1"/>
    <col min="34" max="34" width="14.140625" style="28" customWidth="1"/>
    <col min="35" max="35" width="19.28515625" style="28" bestFit="1" customWidth="1"/>
    <col min="36" max="36" width="12.5703125" style="28" bestFit="1" customWidth="1"/>
    <col min="37" max="37" width="13.85546875" style="28" bestFit="1" customWidth="1"/>
    <col min="38" max="16384" width="11.42578125" style="28"/>
  </cols>
  <sheetData>
    <row r="1" spans="1:43" ht="24" customHeight="1" x14ac:dyDescent="0.4">
      <c r="A1" s="569" t="s">
        <v>10</v>
      </c>
      <c r="B1" s="569"/>
      <c r="C1" s="569"/>
      <c r="D1" s="569"/>
      <c r="E1" s="569"/>
      <c r="F1" s="569"/>
      <c r="G1" s="569"/>
      <c r="H1" s="569"/>
      <c r="I1" s="569"/>
      <c r="J1" s="569"/>
      <c r="S1" s="103"/>
      <c r="T1" s="103"/>
      <c r="U1" s="103"/>
      <c r="V1" s="103"/>
      <c r="W1" s="103"/>
      <c r="X1" s="103"/>
      <c r="AA1" s="104"/>
      <c r="AM1" s="28" t="s">
        <v>286</v>
      </c>
      <c r="AQ1" s="105" t="s">
        <v>287</v>
      </c>
    </row>
    <row r="2" spans="1:43" ht="24" customHeight="1" x14ac:dyDescent="0.25">
      <c r="S2" s="103"/>
      <c r="T2" s="103"/>
      <c r="U2" s="103"/>
      <c r="V2" s="103"/>
      <c r="W2" s="103"/>
      <c r="X2" s="103"/>
    </row>
    <row r="3" spans="1:43" ht="17.25" customHeight="1" x14ac:dyDescent="0.25">
      <c r="A3" s="106" t="s">
        <v>0</v>
      </c>
      <c r="B3" s="107"/>
      <c r="C3" s="107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</row>
    <row r="4" spans="1:43" ht="17.25" customHeight="1" x14ac:dyDescent="0.25">
      <c r="A4" s="580" t="s">
        <v>6</v>
      </c>
      <c r="B4" s="580"/>
      <c r="C4" s="580"/>
      <c r="D4" s="108" t="s">
        <v>1</v>
      </c>
      <c r="E4" s="108" t="s">
        <v>2</v>
      </c>
      <c r="F4" s="108" t="s">
        <v>3</v>
      </c>
      <c r="G4" s="108" t="s">
        <v>4</v>
      </c>
      <c r="H4" s="108" t="s">
        <v>31</v>
      </c>
      <c r="I4" s="108" t="s">
        <v>32</v>
      </c>
      <c r="J4" s="108" t="s">
        <v>42</v>
      </c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</row>
    <row r="5" spans="1:43" ht="17.25" customHeight="1" x14ac:dyDescent="0.25">
      <c r="A5" s="524" t="s">
        <v>7</v>
      </c>
      <c r="B5" s="524"/>
      <c r="C5" s="524"/>
      <c r="D5" s="109" t="s">
        <v>5</v>
      </c>
      <c r="E5" s="110">
        <v>6</v>
      </c>
      <c r="F5" s="110">
        <v>4190000</v>
      </c>
      <c r="G5" s="110">
        <f>+E5*F5</f>
        <v>25140000</v>
      </c>
      <c r="H5" s="110">
        <v>5</v>
      </c>
      <c r="I5" s="111">
        <v>0.1</v>
      </c>
      <c r="J5" s="110">
        <f>((G5*(1-I5)))/H5</f>
        <v>4525200</v>
      </c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</row>
    <row r="6" spans="1:43" ht="17.25" customHeight="1" x14ac:dyDescent="0.25">
      <c r="A6" s="524" t="s">
        <v>8</v>
      </c>
      <c r="B6" s="524"/>
      <c r="C6" s="524"/>
      <c r="D6" s="109" t="s">
        <v>9</v>
      </c>
      <c r="E6" s="110">
        <v>2</v>
      </c>
      <c r="F6" s="110">
        <v>1139000</v>
      </c>
      <c r="G6" s="110">
        <f>+E6*F6</f>
        <v>2278000</v>
      </c>
      <c r="H6" s="110">
        <v>5</v>
      </c>
      <c r="I6" s="111">
        <v>0.1</v>
      </c>
      <c r="J6" s="110">
        <f>((G6*(1-I6)))/H6</f>
        <v>410040</v>
      </c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</row>
    <row r="7" spans="1:43" ht="17.25" customHeight="1" x14ac:dyDescent="0.25">
      <c r="A7" s="524" t="s">
        <v>380</v>
      </c>
      <c r="B7" s="524"/>
      <c r="C7" s="524"/>
      <c r="D7" s="109" t="s">
        <v>381</v>
      </c>
      <c r="E7" s="110">
        <v>5</v>
      </c>
      <c r="F7" s="110">
        <v>600000</v>
      </c>
      <c r="G7" s="110">
        <f>+E7*F7</f>
        <v>3000000</v>
      </c>
      <c r="H7" s="110">
        <v>2</v>
      </c>
      <c r="I7" s="111">
        <v>0</v>
      </c>
      <c r="J7" s="110">
        <f>((G7*(1-I7)))/H7</f>
        <v>1500000</v>
      </c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</row>
    <row r="8" spans="1:43" ht="17.25" customHeight="1" x14ac:dyDescent="0.25">
      <c r="A8" s="524" t="s">
        <v>431</v>
      </c>
      <c r="B8" s="524"/>
      <c r="C8" s="524"/>
      <c r="D8" s="109"/>
      <c r="E8" s="110"/>
      <c r="F8" s="110"/>
      <c r="G8" s="110">
        <v>25000000</v>
      </c>
      <c r="H8" s="110">
        <v>10</v>
      </c>
      <c r="I8" s="111">
        <v>0.1</v>
      </c>
      <c r="J8" s="110">
        <f>((G8*(1-I8)))/H8</f>
        <v>2250000</v>
      </c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</row>
    <row r="9" spans="1:43" ht="17.25" customHeight="1" x14ac:dyDescent="0.25">
      <c r="A9" s="584"/>
      <c r="B9" s="585"/>
      <c r="C9" s="585"/>
      <c r="G9" s="112">
        <f>SUM(G5:G8)</f>
        <v>55418000</v>
      </c>
      <c r="H9" s="113"/>
      <c r="I9" s="114">
        <v>0.1</v>
      </c>
      <c r="J9" s="112">
        <f>G9*(1-I9)</f>
        <v>49876200</v>
      </c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</row>
    <row r="11" spans="1:43" ht="15" customHeight="1" x14ac:dyDescent="0.25">
      <c r="A11" s="106" t="s">
        <v>11</v>
      </c>
      <c r="B11" s="107"/>
      <c r="C11" s="107"/>
    </row>
    <row r="12" spans="1:43" ht="15" customHeight="1" x14ac:dyDescent="0.25">
      <c r="A12" s="580" t="s">
        <v>6</v>
      </c>
      <c r="B12" s="580"/>
      <c r="C12" s="580"/>
      <c r="D12" s="108" t="s">
        <v>1</v>
      </c>
      <c r="E12" s="108" t="s">
        <v>2</v>
      </c>
      <c r="F12" s="108" t="s">
        <v>3</v>
      </c>
      <c r="G12" s="108" t="s">
        <v>4</v>
      </c>
      <c r="H12" s="108" t="s">
        <v>31</v>
      </c>
      <c r="I12" s="108" t="s">
        <v>32</v>
      </c>
      <c r="J12" s="108" t="s">
        <v>42</v>
      </c>
      <c r="K12" s="45"/>
    </row>
    <row r="13" spans="1:43" ht="15" customHeight="1" x14ac:dyDescent="0.25">
      <c r="A13" s="524" t="s">
        <v>12</v>
      </c>
      <c r="B13" s="524"/>
      <c r="C13" s="524"/>
      <c r="D13" s="88" t="s">
        <v>15</v>
      </c>
      <c r="E13" s="110">
        <v>6</v>
      </c>
      <c r="F13" s="110">
        <v>180000</v>
      </c>
      <c r="G13" s="110">
        <f>+E13*F13</f>
        <v>1080000</v>
      </c>
      <c r="H13" s="110">
        <v>10</v>
      </c>
      <c r="I13" s="111">
        <v>0.3</v>
      </c>
      <c r="J13" s="110"/>
    </row>
    <row r="14" spans="1:43" ht="15" customHeight="1" x14ac:dyDescent="0.25">
      <c r="A14" s="524" t="s">
        <v>13</v>
      </c>
      <c r="B14" s="524"/>
      <c r="C14" s="524"/>
      <c r="D14" s="88" t="s">
        <v>16</v>
      </c>
      <c r="E14" s="110">
        <v>6</v>
      </c>
      <c r="F14" s="110">
        <v>500000</v>
      </c>
      <c r="G14" s="110">
        <f>+E14*F14</f>
        <v>3000000</v>
      </c>
      <c r="H14" s="110">
        <v>10</v>
      </c>
      <c r="I14" s="111">
        <v>0.3</v>
      </c>
      <c r="J14" s="110"/>
    </row>
    <row r="15" spans="1:43" ht="15" customHeight="1" x14ac:dyDescent="0.25">
      <c r="A15" s="524" t="s">
        <v>14</v>
      </c>
      <c r="B15" s="524"/>
      <c r="C15" s="524"/>
      <c r="D15" s="88" t="s">
        <v>17</v>
      </c>
      <c r="E15" s="110">
        <v>2</v>
      </c>
      <c r="F15" s="110">
        <v>1100000</v>
      </c>
      <c r="G15" s="115">
        <f>+E15*F15</f>
        <v>2200000</v>
      </c>
      <c r="H15" s="115">
        <v>10</v>
      </c>
      <c r="I15" s="111">
        <v>0.3</v>
      </c>
      <c r="J15" s="116"/>
    </row>
    <row r="16" spans="1:43" ht="15" customHeight="1" x14ac:dyDescent="0.25">
      <c r="A16" s="584" t="s">
        <v>18</v>
      </c>
      <c r="B16" s="585"/>
      <c r="C16" s="585"/>
      <c r="G16" s="112">
        <f>SUM(G13:G15)</f>
        <v>6280000</v>
      </c>
      <c r="H16" s="113"/>
      <c r="I16" s="114">
        <v>0.3</v>
      </c>
      <c r="J16" s="112">
        <f>G16*(1-I16)</f>
        <v>4396000</v>
      </c>
    </row>
    <row r="17" spans="1:38" ht="24" customHeight="1" x14ac:dyDescent="0.25">
      <c r="L17" s="45"/>
      <c r="M17" s="45"/>
    </row>
    <row r="18" spans="1:38" ht="20.25" customHeight="1" x14ac:dyDescent="0.25">
      <c r="A18" s="117" t="s">
        <v>19</v>
      </c>
      <c r="B18" s="107"/>
      <c r="C18" s="107"/>
    </row>
    <row r="19" spans="1:38" ht="20.25" customHeight="1" thickBot="1" x14ac:dyDescent="0.3">
      <c r="A19" s="580" t="s">
        <v>6</v>
      </c>
      <c r="B19" s="580"/>
      <c r="C19" s="580"/>
      <c r="D19" s="108" t="s">
        <v>1</v>
      </c>
      <c r="E19" s="108" t="s">
        <v>2</v>
      </c>
      <c r="F19" s="108" t="s">
        <v>3</v>
      </c>
      <c r="G19" s="108" t="s">
        <v>4</v>
      </c>
      <c r="H19" s="108" t="s">
        <v>31</v>
      </c>
      <c r="I19" s="108" t="s">
        <v>32</v>
      </c>
      <c r="J19" s="108" t="s">
        <v>42</v>
      </c>
    </row>
    <row r="20" spans="1:38" ht="20.25" customHeight="1" thickBot="1" x14ac:dyDescent="0.35">
      <c r="A20" s="557" t="s">
        <v>20</v>
      </c>
      <c r="B20" s="557"/>
      <c r="C20" s="557"/>
      <c r="D20" s="118" t="s">
        <v>279</v>
      </c>
      <c r="E20" s="118">
        <v>1</v>
      </c>
      <c r="F20" s="110">
        <v>80000000</v>
      </c>
      <c r="G20" s="110">
        <f>+E20*F20</f>
        <v>80000000</v>
      </c>
      <c r="H20" s="110">
        <v>10</v>
      </c>
      <c r="I20" s="111">
        <v>0</v>
      </c>
      <c r="J20" s="110"/>
      <c r="AB20" s="566" t="s">
        <v>220</v>
      </c>
      <c r="AC20" s="567"/>
      <c r="AD20" s="567"/>
      <c r="AE20" s="567"/>
      <c r="AF20" s="568"/>
      <c r="AH20" s="566" t="s">
        <v>219</v>
      </c>
      <c r="AI20" s="567"/>
      <c r="AJ20" s="567"/>
      <c r="AK20" s="567"/>
      <c r="AL20" s="568"/>
    </row>
    <row r="21" spans="1:38" ht="20.25" customHeight="1" x14ac:dyDescent="0.25">
      <c r="A21" s="582" t="s">
        <v>21</v>
      </c>
      <c r="B21" s="583"/>
      <c r="C21" s="583"/>
      <c r="G21" s="112">
        <f>+G20</f>
        <v>80000000</v>
      </c>
      <c r="H21" s="113"/>
      <c r="I21" s="113"/>
      <c r="J21" s="112">
        <f>+G21</f>
        <v>80000000</v>
      </c>
      <c r="AA21" s="119" t="s">
        <v>76</v>
      </c>
      <c r="AB21" s="120" t="str">
        <f>PROYECCIONES!G20</f>
        <v>Año 1</v>
      </c>
      <c r="AC21" s="121" t="str">
        <f>PROYECCIONES!H20</f>
        <v xml:space="preserve">Año 2 </v>
      </c>
      <c r="AD21" s="121" t="str">
        <f>PROYECCIONES!I20</f>
        <v>Año 3</v>
      </c>
      <c r="AE21" s="121" t="str">
        <f>PROYECCIONES!J20</f>
        <v>Año 4</v>
      </c>
      <c r="AF21" s="122" t="str">
        <f>PROYECCIONES!K20</f>
        <v>Año 5</v>
      </c>
      <c r="AG21" s="119" t="s">
        <v>76</v>
      </c>
      <c r="AH21" s="123" t="str">
        <f>PROYECCIONES!G20</f>
        <v>Año 1</v>
      </c>
      <c r="AI21" s="124" t="str">
        <f>PROYECCIONES!H20</f>
        <v xml:space="preserve">Año 2 </v>
      </c>
      <c r="AJ21" s="124" t="str">
        <f>PROYECCIONES!I20</f>
        <v>Año 3</v>
      </c>
      <c r="AK21" s="124" t="str">
        <f>PROYECCIONES!J20</f>
        <v>Año 4</v>
      </c>
      <c r="AL21" s="125" t="str">
        <f>PROYECCIONES!K20</f>
        <v>Año 5</v>
      </c>
    </row>
    <row r="22" spans="1:38" ht="20.25" customHeight="1" x14ac:dyDescent="0.25">
      <c r="A22" s="45"/>
      <c r="B22" s="45"/>
      <c r="C22" s="45"/>
      <c r="G22" s="126"/>
      <c r="H22" s="113"/>
      <c r="I22" s="113"/>
      <c r="J22" s="126"/>
      <c r="AA22" s="127"/>
      <c r="AB22" s="128"/>
      <c r="AC22" s="129"/>
      <c r="AD22" s="129"/>
      <c r="AE22" s="129"/>
      <c r="AF22" s="130"/>
      <c r="AG22" s="127"/>
      <c r="AH22" s="123"/>
      <c r="AI22" s="124"/>
      <c r="AJ22" s="124"/>
      <c r="AK22" s="124"/>
      <c r="AL22" s="125"/>
    </row>
    <row r="23" spans="1:38" ht="20.25" customHeight="1" x14ac:dyDescent="0.25">
      <c r="A23" s="117" t="s">
        <v>437</v>
      </c>
      <c r="B23" s="107"/>
      <c r="C23" s="107"/>
      <c r="AA23" s="127"/>
      <c r="AB23" s="128"/>
      <c r="AC23" s="129"/>
      <c r="AD23" s="129"/>
      <c r="AE23" s="129"/>
      <c r="AF23" s="130"/>
      <c r="AG23" s="127"/>
      <c r="AH23" s="123"/>
      <c r="AI23" s="124"/>
      <c r="AJ23" s="124"/>
      <c r="AK23" s="124"/>
      <c r="AL23" s="125"/>
    </row>
    <row r="24" spans="1:38" ht="20.25" customHeight="1" x14ac:dyDescent="0.25">
      <c r="A24" s="580" t="s">
        <v>6</v>
      </c>
      <c r="B24" s="580"/>
      <c r="C24" s="580"/>
      <c r="D24" s="108" t="s">
        <v>1</v>
      </c>
      <c r="E24" s="108" t="s">
        <v>2</v>
      </c>
      <c r="F24" s="108" t="s">
        <v>3</v>
      </c>
      <c r="G24" s="108" t="s">
        <v>4</v>
      </c>
      <c r="H24" s="108" t="s">
        <v>281</v>
      </c>
      <c r="I24" s="108" t="s">
        <v>32</v>
      </c>
      <c r="J24" s="108" t="s">
        <v>42</v>
      </c>
      <c r="AA24" s="127"/>
      <c r="AB24" s="128"/>
      <c r="AC24" s="129"/>
      <c r="AD24" s="129"/>
      <c r="AE24" s="129"/>
      <c r="AF24" s="130"/>
      <c r="AG24" s="127"/>
      <c r="AH24" s="123"/>
      <c r="AI24" s="124"/>
      <c r="AJ24" s="124"/>
      <c r="AK24" s="124"/>
      <c r="AL24" s="125"/>
    </row>
    <row r="25" spans="1:38" ht="20.25" customHeight="1" x14ac:dyDescent="0.25">
      <c r="A25" s="557" t="s">
        <v>438</v>
      </c>
      <c r="B25" s="557"/>
      <c r="C25" s="557"/>
      <c r="D25" s="118" t="s">
        <v>439</v>
      </c>
      <c r="E25" s="118">
        <v>1</v>
      </c>
      <c r="F25" s="110">
        <v>15000000</v>
      </c>
      <c r="G25" s="110">
        <f>+E25*F25</f>
        <v>15000000</v>
      </c>
      <c r="H25" s="110">
        <v>5</v>
      </c>
      <c r="I25" s="111">
        <v>0</v>
      </c>
      <c r="J25" s="110">
        <f>+G25/H25</f>
        <v>3000000</v>
      </c>
      <c r="AA25" s="127"/>
      <c r="AB25" s="128"/>
      <c r="AC25" s="129"/>
      <c r="AD25" s="129"/>
      <c r="AE25" s="129"/>
      <c r="AF25" s="130"/>
      <c r="AG25" s="127"/>
      <c r="AH25" s="123"/>
      <c r="AI25" s="124"/>
      <c r="AJ25" s="124"/>
      <c r="AK25" s="124"/>
      <c r="AL25" s="125"/>
    </row>
    <row r="26" spans="1:38" ht="20.25" customHeight="1" x14ac:dyDescent="0.25">
      <c r="A26" s="557" t="s">
        <v>440</v>
      </c>
      <c r="B26" s="557"/>
      <c r="C26" s="557"/>
      <c r="D26" s="118"/>
      <c r="E26" s="118">
        <v>1</v>
      </c>
      <c r="F26" s="110">
        <v>20000000</v>
      </c>
      <c r="G26" s="110">
        <f>+E26*F26</f>
        <v>20000000</v>
      </c>
      <c r="H26" s="110">
        <v>5</v>
      </c>
      <c r="I26" s="111">
        <v>0</v>
      </c>
      <c r="J26" s="110">
        <f>+G26/H26</f>
        <v>4000000</v>
      </c>
      <c r="AA26" s="127"/>
      <c r="AB26" s="128"/>
      <c r="AC26" s="129"/>
      <c r="AD26" s="129"/>
      <c r="AE26" s="129"/>
      <c r="AF26" s="130"/>
      <c r="AG26" s="127"/>
      <c r="AH26" s="123"/>
      <c r="AI26" s="124"/>
      <c r="AJ26" s="124"/>
      <c r="AK26" s="124"/>
      <c r="AL26" s="125"/>
    </row>
    <row r="27" spans="1:38" ht="20.25" customHeight="1" x14ac:dyDescent="0.25">
      <c r="A27" s="582" t="s">
        <v>21</v>
      </c>
      <c r="B27" s="583"/>
      <c r="C27" s="583"/>
      <c r="G27" s="112">
        <f>+G25+G26</f>
        <v>35000000</v>
      </c>
      <c r="H27" s="113"/>
      <c r="I27" s="113"/>
      <c r="J27" s="112">
        <f>+J25+J26</f>
        <v>7000000</v>
      </c>
      <c r="AA27" s="127"/>
      <c r="AB27" s="128"/>
      <c r="AC27" s="129"/>
      <c r="AD27" s="129"/>
      <c r="AE27" s="129"/>
      <c r="AF27" s="130"/>
      <c r="AG27" s="127"/>
      <c r="AH27" s="123"/>
      <c r="AI27" s="124"/>
      <c r="AJ27" s="124"/>
      <c r="AK27" s="124"/>
      <c r="AL27" s="125"/>
    </row>
    <row r="28" spans="1:38" ht="20.25" customHeight="1" x14ac:dyDescent="0.25">
      <c r="A28" s="45"/>
      <c r="B28" s="45"/>
      <c r="C28" s="45"/>
      <c r="G28" s="126"/>
      <c r="H28" s="113"/>
      <c r="I28" s="113"/>
      <c r="J28" s="126"/>
      <c r="AA28" s="127"/>
      <c r="AB28" s="128"/>
      <c r="AC28" s="129"/>
      <c r="AD28" s="129"/>
      <c r="AE28" s="129"/>
      <c r="AF28" s="130"/>
      <c r="AG28" s="127"/>
      <c r="AH28" s="123"/>
      <c r="AI28" s="124"/>
      <c r="AJ28" s="124"/>
      <c r="AK28" s="124"/>
      <c r="AL28" s="125"/>
    </row>
    <row r="29" spans="1:38" ht="24" customHeight="1" x14ac:dyDescent="0.25">
      <c r="AA29" s="131" t="s">
        <v>77</v>
      </c>
      <c r="AB29" s="132">
        <v>1.4999999999999999E-2</v>
      </c>
      <c r="AC29" s="133">
        <v>0.02</v>
      </c>
      <c r="AD29" s="133">
        <v>2.1999999999999999E-2</v>
      </c>
      <c r="AE29" s="133">
        <v>3.2000000000000001E-2</v>
      </c>
      <c r="AF29" s="134">
        <v>3.3000000000000002E-2</v>
      </c>
      <c r="AG29" s="131" t="s">
        <v>77</v>
      </c>
      <c r="AH29" s="135">
        <v>0.01</v>
      </c>
      <c r="AI29" s="133">
        <v>1.2999999999999999E-2</v>
      </c>
      <c r="AJ29" s="133">
        <v>1.4999999999999999E-2</v>
      </c>
      <c r="AK29" s="133">
        <v>0.02</v>
      </c>
      <c r="AL29" s="134">
        <v>2.5000000000000001E-2</v>
      </c>
    </row>
    <row r="30" spans="1:38" ht="24" customHeight="1" x14ac:dyDescent="0.25">
      <c r="A30" s="571" t="s">
        <v>30</v>
      </c>
      <c r="B30" s="572"/>
      <c r="C30" s="573"/>
      <c r="D30" s="80" t="s">
        <v>35</v>
      </c>
      <c r="E30" s="80" t="s">
        <v>36</v>
      </c>
      <c r="F30" s="80" t="s">
        <v>37</v>
      </c>
      <c r="G30" s="80" t="s">
        <v>38</v>
      </c>
      <c r="H30" s="80" t="s">
        <v>39</v>
      </c>
      <c r="I30" s="80" t="s">
        <v>40</v>
      </c>
      <c r="AA30" s="136"/>
      <c r="AB30" s="136"/>
      <c r="AC30" s="136"/>
      <c r="AD30" s="136"/>
      <c r="AE30" s="136"/>
      <c r="AG30" s="136"/>
      <c r="AH30" s="136"/>
      <c r="AI30" s="136"/>
      <c r="AJ30" s="136"/>
      <c r="AK30" s="136"/>
    </row>
    <row r="31" spans="1:38" ht="18" customHeight="1" x14ac:dyDescent="0.25">
      <c r="A31" s="574" t="s">
        <v>34</v>
      </c>
      <c r="B31" s="575"/>
      <c r="C31" s="576"/>
      <c r="D31" s="137"/>
      <c r="E31" s="82">
        <f>(($J$9/$H$6))</f>
        <v>9975240</v>
      </c>
      <c r="F31" s="82">
        <f>(($J$9/$H$6))</f>
        <v>9975240</v>
      </c>
      <c r="G31" s="82">
        <f>(($J$9/$H$6))</f>
        <v>9975240</v>
      </c>
      <c r="H31" s="82">
        <f>(($J$9/$H$6))</f>
        <v>9975240</v>
      </c>
      <c r="I31" s="82">
        <f>(($J$9/$H$6))</f>
        <v>9975240</v>
      </c>
      <c r="AB31" s="29"/>
      <c r="AD31" s="28"/>
    </row>
    <row r="32" spans="1:38" ht="18" customHeight="1" x14ac:dyDescent="0.25">
      <c r="A32" s="574" t="s">
        <v>41</v>
      </c>
      <c r="B32" s="575"/>
      <c r="C32" s="576"/>
      <c r="D32" s="137"/>
      <c r="E32" s="82">
        <f>($J$16/$H$15)</f>
        <v>439600</v>
      </c>
      <c r="F32" s="82">
        <f t="shared" ref="F32:I32" si="0">($J$16/$H$15)</f>
        <v>439600</v>
      </c>
      <c r="G32" s="138">
        <f t="shared" si="0"/>
        <v>439600</v>
      </c>
      <c r="H32" s="82">
        <f t="shared" si="0"/>
        <v>439600</v>
      </c>
      <c r="I32" s="139">
        <f t="shared" si="0"/>
        <v>439600</v>
      </c>
      <c r="Z32" s="140">
        <v>1</v>
      </c>
      <c r="AA32" s="140" t="s">
        <v>205</v>
      </c>
      <c r="AB32" s="29"/>
      <c r="AD32" s="28"/>
    </row>
    <row r="33" spans="1:30" ht="18" customHeight="1" x14ac:dyDescent="0.25">
      <c r="A33" s="574" t="s">
        <v>217</v>
      </c>
      <c r="B33" s="575"/>
      <c r="C33" s="576"/>
      <c r="D33" s="137"/>
      <c r="E33" s="82">
        <f>+($G$20/$H$20)+$J$27</f>
        <v>15000000</v>
      </c>
      <c r="F33" s="82">
        <f t="shared" ref="F33:I33" si="1">+($G$20/$H$20)+$J$27</f>
        <v>15000000</v>
      </c>
      <c r="G33" s="82">
        <f t="shared" si="1"/>
        <v>15000000</v>
      </c>
      <c r="H33" s="82">
        <f t="shared" si="1"/>
        <v>15000000</v>
      </c>
      <c r="I33" s="82">
        <f t="shared" si="1"/>
        <v>15000000</v>
      </c>
      <c r="Z33" s="140">
        <v>3</v>
      </c>
      <c r="AA33" s="140" t="s">
        <v>203</v>
      </c>
      <c r="AB33" s="29"/>
      <c r="AD33" s="28"/>
    </row>
    <row r="34" spans="1:30" ht="18" customHeight="1" x14ac:dyDescent="0.25">
      <c r="A34" s="577" t="s">
        <v>280</v>
      </c>
      <c r="B34" s="578"/>
      <c r="C34" s="579"/>
      <c r="D34" s="141"/>
      <c r="E34" s="142">
        <f>+E31+E32+E33</f>
        <v>25414840</v>
      </c>
      <c r="F34" s="143">
        <f>+F31+F32+F33</f>
        <v>25414840</v>
      </c>
      <c r="G34" s="142">
        <f>+G31+G32+G33</f>
        <v>25414840</v>
      </c>
      <c r="H34" s="143">
        <f>+H31+H32+H33</f>
        <v>25414840</v>
      </c>
      <c r="I34" s="142">
        <f>+I31+I32+I33</f>
        <v>25414840</v>
      </c>
      <c r="AB34" s="29"/>
      <c r="AD34" s="28"/>
    </row>
    <row r="36" spans="1:30" ht="24" customHeight="1" x14ac:dyDescent="0.4">
      <c r="A36" s="570" t="s">
        <v>29</v>
      </c>
      <c r="B36" s="570"/>
      <c r="C36" s="570"/>
      <c r="D36" s="570"/>
      <c r="E36" s="570"/>
      <c r="F36" s="570"/>
      <c r="G36" s="570"/>
      <c r="H36" s="570"/>
      <c r="I36" s="570"/>
      <c r="J36" s="570"/>
    </row>
    <row r="38" spans="1:30" ht="26.25" customHeight="1" x14ac:dyDescent="0.45">
      <c r="A38" s="144" t="s">
        <v>28</v>
      </c>
      <c r="B38" s="145"/>
      <c r="C38" s="145"/>
      <c r="D38" s="586" t="s">
        <v>277</v>
      </c>
      <c r="E38" s="586"/>
    </row>
    <row r="39" spans="1:30" ht="17.25" customHeight="1" x14ac:dyDescent="0.25">
      <c r="D39" s="88" t="s">
        <v>165</v>
      </c>
      <c r="E39" s="146">
        <f>+'DETALLE COSTOS'!Q62</f>
        <v>0.47728543857317784</v>
      </c>
    </row>
    <row r="40" spans="1:30" ht="17.25" customHeight="1" x14ac:dyDescent="0.25">
      <c r="A40" s="147" t="s">
        <v>23</v>
      </c>
      <c r="B40" s="148" t="s">
        <v>25</v>
      </c>
      <c r="D40" s="88" t="s">
        <v>221</v>
      </c>
      <c r="E40" s="149">
        <v>0.35</v>
      </c>
      <c r="AB40" s="29"/>
      <c r="AD40" s="28"/>
    </row>
    <row r="41" spans="1:30" ht="17.25" customHeight="1" x14ac:dyDescent="0.25">
      <c r="A41" s="150" t="s">
        <v>24</v>
      </c>
      <c r="B41" s="151">
        <v>150000000</v>
      </c>
      <c r="D41" s="88" t="s">
        <v>400</v>
      </c>
      <c r="E41" s="149">
        <v>0.35</v>
      </c>
      <c r="AB41" s="29"/>
      <c r="AD41" s="28"/>
    </row>
    <row r="42" spans="1:30" ht="17.25" customHeight="1" x14ac:dyDescent="0.25">
      <c r="A42" s="150" t="s">
        <v>26</v>
      </c>
      <c r="B42" s="40">
        <v>5</v>
      </c>
      <c r="D42" s="152" t="s">
        <v>401</v>
      </c>
      <c r="E42" s="153">
        <v>0.16</v>
      </c>
      <c r="AB42" s="29"/>
      <c r="AD42" s="28"/>
    </row>
    <row r="43" spans="1:30" ht="17.25" customHeight="1" x14ac:dyDescent="0.25">
      <c r="A43" s="150" t="s">
        <v>27</v>
      </c>
      <c r="B43" s="154">
        <f>+E42</f>
        <v>0.16</v>
      </c>
      <c r="D43" s="88" t="s">
        <v>402</v>
      </c>
      <c r="E43" s="155">
        <v>2.5000000000000001E-2</v>
      </c>
      <c r="AB43" s="29"/>
      <c r="AD43" s="28"/>
    </row>
    <row r="44" spans="1:30" ht="17.25" customHeight="1" x14ac:dyDescent="0.25">
      <c r="A44" s="150" t="s">
        <v>26</v>
      </c>
      <c r="B44" s="156">
        <f>PMT(B43,B42,-B41)</f>
        <v>45811407.242680773</v>
      </c>
      <c r="AB44" s="29"/>
      <c r="AD44" s="28"/>
    </row>
    <row r="46" spans="1:30" ht="17.25" customHeight="1" x14ac:dyDescent="0.25">
      <c r="D46" s="157" t="s">
        <v>35</v>
      </c>
      <c r="E46" s="157" t="s">
        <v>36</v>
      </c>
      <c r="F46" s="157" t="s">
        <v>37</v>
      </c>
      <c r="G46" s="157" t="s">
        <v>38</v>
      </c>
      <c r="H46" s="157" t="s">
        <v>39</v>
      </c>
      <c r="I46" s="157" t="s">
        <v>40</v>
      </c>
      <c r="AB46" s="29"/>
      <c r="AD46" s="28"/>
    </row>
    <row r="47" spans="1:30" ht="17.25" customHeight="1" x14ac:dyDescent="0.25">
      <c r="C47" s="88" t="s">
        <v>43</v>
      </c>
      <c r="D47" s="158">
        <f>+B41</f>
        <v>150000000</v>
      </c>
      <c r="E47" s="110">
        <f>+D47-E50</f>
        <v>128188592.75731923</v>
      </c>
      <c r="F47" s="110">
        <f>+E47-F50</f>
        <v>102887360.35580954</v>
      </c>
      <c r="G47" s="110">
        <f>+F47-G50</f>
        <v>73537930.770058289</v>
      </c>
      <c r="H47" s="110">
        <f>+G47-H50</f>
        <v>39492592.450586841</v>
      </c>
      <c r="I47" s="110">
        <f>+H47-I50</f>
        <v>0</v>
      </c>
      <c r="AB47" s="29"/>
      <c r="AD47" s="28"/>
    </row>
    <row r="48" spans="1:30" ht="17.25" customHeight="1" x14ac:dyDescent="0.25">
      <c r="C48" s="88" t="s">
        <v>44</v>
      </c>
      <c r="E48" s="110">
        <f>+D47*$B$43</f>
        <v>24000000</v>
      </c>
      <c r="F48" s="110">
        <f>+E47*$B$43</f>
        <v>20510174.841171078</v>
      </c>
      <c r="G48" s="110">
        <f>+F47*$B$43</f>
        <v>16461977.656929526</v>
      </c>
      <c r="H48" s="110">
        <f>+G47*$B$43</f>
        <v>11766068.923209326</v>
      </c>
      <c r="I48" s="110">
        <f>+H47*$B$43</f>
        <v>6318814.7920938944</v>
      </c>
      <c r="AB48" s="29"/>
      <c r="AD48" s="28"/>
    </row>
    <row r="49" spans="1:30" ht="17.25" customHeight="1" x14ac:dyDescent="0.25">
      <c r="C49" s="88" t="s">
        <v>45</v>
      </c>
      <c r="E49" s="110">
        <f>$B$44</f>
        <v>45811407.242680773</v>
      </c>
      <c r="F49" s="110">
        <f>$B$44</f>
        <v>45811407.242680773</v>
      </c>
      <c r="G49" s="110">
        <f>$B$44</f>
        <v>45811407.242680773</v>
      </c>
      <c r="H49" s="110">
        <f>$B$44</f>
        <v>45811407.242680773</v>
      </c>
      <c r="I49" s="110">
        <f>$B$44</f>
        <v>45811407.242680773</v>
      </c>
      <c r="AB49" s="29"/>
      <c r="AD49" s="28"/>
    </row>
    <row r="50" spans="1:30" ht="17.25" customHeight="1" x14ac:dyDescent="0.25">
      <c r="C50" s="88" t="s">
        <v>46</v>
      </c>
      <c r="E50" s="110">
        <f>+E49-E48</f>
        <v>21811407.242680773</v>
      </c>
      <c r="F50" s="110">
        <f>+F49-F48</f>
        <v>25301232.401509695</v>
      </c>
      <c r="G50" s="110">
        <f>+G49-G48</f>
        <v>29349429.585751247</v>
      </c>
      <c r="H50" s="110">
        <f>+H49-H48</f>
        <v>34045338.319471449</v>
      </c>
      <c r="I50" s="110">
        <f>+I49-I48</f>
        <v>39492592.450586878</v>
      </c>
      <c r="AB50" s="29"/>
      <c r="AD50" s="28"/>
    </row>
    <row r="51" spans="1:30" ht="17.25" customHeight="1" x14ac:dyDescent="0.25">
      <c r="E51" s="102">
        <f>+E47-F47</f>
        <v>25301232.401509687</v>
      </c>
    </row>
    <row r="52" spans="1:30" ht="17.25" customHeight="1" x14ac:dyDescent="0.25">
      <c r="E52" s="157" t="s">
        <v>36</v>
      </c>
      <c r="F52" s="157" t="s">
        <v>37</v>
      </c>
      <c r="G52" s="157" t="s">
        <v>38</v>
      </c>
      <c r="H52" s="157" t="s">
        <v>39</v>
      </c>
      <c r="I52" s="157" t="s">
        <v>40</v>
      </c>
      <c r="AA52" s="29"/>
      <c r="AB52" s="29"/>
      <c r="AC52" s="28"/>
      <c r="AD52" s="28"/>
    </row>
    <row r="53" spans="1:30" ht="17.25" customHeight="1" x14ac:dyDescent="0.25">
      <c r="C53" s="557" t="s">
        <v>132</v>
      </c>
      <c r="D53" s="557"/>
      <c r="E53" s="115">
        <f>+E48</f>
        <v>24000000</v>
      </c>
      <c r="F53" s="115">
        <f>+F48</f>
        <v>20510174.841171078</v>
      </c>
      <c r="G53" s="115">
        <f>+G48</f>
        <v>16461977.656929526</v>
      </c>
      <c r="H53" s="115">
        <f>+H48</f>
        <v>11766068.923209326</v>
      </c>
      <c r="I53" s="115">
        <f>+I48</f>
        <v>6318814.7920938944</v>
      </c>
      <c r="AA53" s="29"/>
      <c r="AB53" s="29"/>
      <c r="AC53" s="28"/>
      <c r="AD53" s="28"/>
    </row>
    <row r="54" spans="1:30" ht="17.25" customHeight="1" x14ac:dyDescent="0.25">
      <c r="C54" s="557" t="s">
        <v>281</v>
      </c>
      <c r="D54" s="557"/>
      <c r="E54" s="115">
        <f>+E50</f>
        <v>21811407.242680773</v>
      </c>
      <c r="F54" s="115">
        <f>+F50</f>
        <v>25301232.401509695</v>
      </c>
      <c r="G54" s="115">
        <f>+G50</f>
        <v>29349429.585751247</v>
      </c>
      <c r="H54" s="115">
        <f>+H50</f>
        <v>34045338.319471449</v>
      </c>
      <c r="I54" s="115">
        <f>+I50</f>
        <v>39492592.450586878</v>
      </c>
      <c r="AA54" s="29"/>
      <c r="AB54" s="29"/>
      <c r="AC54" s="28"/>
      <c r="AD54" s="28"/>
    </row>
    <row r="55" spans="1:30" ht="24" customHeight="1" x14ac:dyDescent="0.25">
      <c r="AB55" s="29"/>
      <c r="AD55" s="28"/>
    </row>
    <row r="56" spans="1:30" ht="24" customHeight="1" x14ac:dyDescent="0.25">
      <c r="A56" s="159" t="s">
        <v>47</v>
      </c>
      <c r="D56" s="157" t="s">
        <v>35</v>
      </c>
      <c r="E56" s="157" t="s">
        <v>36</v>
      </c>
      <c r="F56" s="157" t="s">
        <v>37</v>
      </c>
      <c r="G56" s="157" t="s">
        <v>38</v>
      </c>
      <c r="H56" s="157" t="s">
        <v>39</v>
      </c>
      <c r="I56" s="157" t="s">
        <v>40</v>
      </c>
      <c r="AB56" s="29"/>
      <c r="AD56" s="28"/>
    </row>
    <row r="57" spans="1:30" ht="24" customHeight="1" x14ac:dyDescent="0.45">
      <c r="A57" s="160"/>
      <c r="D57" s="161"/>
      <c r="E57" s="161"/>
      <c r="F57" s="161"/>
      <c r="G57" s="161"/>
      <c r="H57" s="161"/>
      <c r="I57" s="161"/>
      <c r="AB57" s="29"/>
      <c r="AD57" s="28"/>
    </row>
    <row r="58" spans="1:30" ht="15.75" customHeight="1" x14ac:dyDescent="0.25">
      <c r="A58" s="558" t="s">
        <v>274</v>
      </c>
      <c r="B58" s="559"/>
      <c r="C58" s="560"/>
      <c r="D58" s="88">
        <v>0</v>
      </c>
      <c r="E58" s="162">
        <f>+'DETALLE COSTOS'!F67</f>
        <v>662710249.33333325</v>
      </c>
      <c r="F58" s="162">
        <f>+'DETALLE COSTOS'!G67</f>
        <v>686601528.55866659</v>
      </c>
      <c r="G58" s="162">
        <f>+'DETALLE COSTOS'!H67</f>
        <v>702619830.5296613</v>
      </c>
      <c r="H58" s="162">
        <f>+'DETALLE COSTOS'!I67</f>
        <v>718937372.88714004</v>
      </c>
      <c r="I58" s="162">
        <f>+'DETALLE COSTOS'!J67</f>
        <v>737573040.54487705</v>
      </c>
      <c r="AB58" s="29"/>
      <c r="AD58" s="28"/>
    </row>
    <row r="59" spans="1:30" ht="15.75" customHeight="1" x14ac:dyDescent="0.25">
      <c r="A59" s="558" t="s">
        <v>275</v>
      </c>
      <c r="B59" s="559"/>
      <c r="C59" s="560"/>
      <c r="D59" s="88">
        <v>0</v>
      </c>
      <c r="E59" s="115">
        <f>E58*$E$39</f>
        <v>316301952</v>
      </c>
      <c r="F59" s="115">
        <f t="shared" ref="F59:I59" si="2">F58*$E$39</f>
        <v>327704911.68313748</v>
      </c>
      <c r="G59" s="115">
        <f t="shared" si="2"/>
        <v>335350213.96456128</v>
      </c>
      <c r="H59" s="115">
        <f t="shared" si="2"/>
        <v>343138339.32508695</v>
      </c>
      <c r="I59" s="115">
        <f t="shared" si="2"/>
        <v>352032872.1362139</v>
      </c>
      <c r="AB59" s="29"/>
      <c r="AD59" s="28"/>
    </row>
    <row r="60" spans="1:30" ht="15.75" customHeight="1" x14ac:dyDescent="0.25">
      <c r="A60" s="561" t="s">
        <v>276</v>
      </c>
      <c r="B60" s="562"/>
      <c r="C60" s="563"/>
      <c r="D60" s="163">
        <f>+E59+D59</f>
        <v>316301952</v>
      </c>
      <c r="E60" s="163">
        <f>+F59-E59</f>
        <v>11402959.683137476</v>
      </c>
      <c r="F60" s="163">
        <f t="shared" ref="F60:H60" si="3">+G59-F59</f>
        <v>7645302.2814238071</v>
      </c>
      <c r="G60" s="163">
        <f t="shared" si="3"/>
        <v>7788125.3605256677</v>
      </c>
      <c r="H60" s="163">
        <f t="shared" si="3"/>
        <v>8894532.8111269474</v>
      </c>
      <c r="I60" s="163"/>
      <c r="AB60" s="29"/>
      <c r="AD60" s="28"/>
    </row>
    <row r="61" spans="1:30" ht="24" customHeight="1" x14ac:dyDescent="0.25">
      <c r="AB61" s="29"/>
      <c r="AD61" s="28"/>
    </row>
    <row r="62" spans="1:30" ht="24" customHeight="1" x14ac:dyDescent="0.25">
      <c r="A62" s="164" t="s">
        <v>396</v>
      </c>
      <c r="AB62" s="29"/>
      <c r="AD62" s="28"/>
    </row>
    <row r="63" spans="1:30" ht="24" customHeight="1" x14ac:dyDescent="0.25">
      <c r="AB63" s="29"/>
      <c r="AD63" s="28"/>
    </row>
    <row r="64" spans="1:30" ht="16.5" customHeight="1" x14ac:dyDescent="0.25">
      <c r="A64" s="165" t="s">
        <v>397</v>
      </c>
      <c r="B64" s="165" t="s">
        <v>398</v>
      </c>
      <c r="C64" s="69" t="s">
        <v>399</v>
      </c>
      <c r="D64" s="69" t="s">
        <v>406</v>
      </c>
      <c r="E64" s="165" t="s">
        <v>407</v>
      </c>
      <c r="AB64" s="29"/>
      <c r="AD64" s="28"/>
    </row>
    <row r="65" spans="1:30" ht="16.5" customHeight="1" x14ac:dyDescent="0.25">
      <c r="A65" s="88" t="s">
        <v>403</v>
      </c>
      <c r="B65" s="115">
        <f>+D100</f>
        <v>307999952</v>
      </c>
      <c r="C65" s="146">
        <f>+B65/B67</f>
        <v>0.67248904864514047</v>
      </c>
      <c r="D65" s="149">
        <f>+E41</f>
        <v>0.35</v>
      </c>
      <c r="E65" s="71">
        <f>+C65*D65</f>
        <v>0.23537116702579916</v>
      </c>
      <c r="AB65" s="29"/>
      <c r="AD65" s="28"/>
    </row>
    <row r="66" spans="1:30" ht="16.5" customHeight="1" x14ac:dyDescent="0.25">
      <c r="A66" s="88" t="s">
        <v>404</v>
      </c>
      <c r="B66" s="115">
        <f>+B41</f>
        <v>150000000</v>
      </c>
      <c r="C66" s="146">
        <f>+B66/B67</f>
        <v>0.32751095135485953</v>
      </c>
      <c r="D66" s="71">
        <f>E42*(1-E40)</f>
        <v>0.10400000000000001</v>
      </c>
      <c r="E66" s="71">
        <f>+C66*D66</f>
        <v>3.4061138940905393E-2</v>
      </c>
      <c r="AB66" s="29"/>
      <c r="AD66" s="28"/>
    </row>
    <row r="67" spans="1:30" ht="16.5" customHeight="1" x14ac:dyDescent="0.25">
      <c r="A67" s="88" t="s">
        <v>405</v>
      </c>
      <c r="B67" s="116">
        <f>SUM(B65:B66)</f>
        <v>457999952</v>
      </c>
      <c r="C67" s="88"/>
      <c r="D67" s="88"/>
      <c r="E67" s="166">
        <f>+E65+E66</f>
        <v>0.26943230596670453</v>
      </c>
      <c r="AB67" s="29"/>
      <c r="AD67" s="28"/>
    </row>
    <row r="68" spans="1:30" ht="24" customHeight="1" x14ac:dyDescent="0.25">
      <c r="AB68" s="29"/>
      <c r="AD68" s="28"/>
    </row>
    <row r="69" spans="1:30" ht="24" customHeight="1" x14ac:dyDescent="0.4">
      <c r="A69" s="556" t="s">
        <v>364</v>
      </c>
      <c r="B69" s="556"/>
      <c r="C69" s="556"/>
      <c r="D69" s="556"/>
      <c r="E69" s="556"/>
      <c r="F69" s="556"/>
      <c r="AB69" s="29"/>
      <c r="AD69" s="28"/>
    </row>
    <row r="70" spans="1:30" ht="24" customHeight="1" x14ac:dyDescent="0.25">
      <c r="AB70" s="29"/>
      <c r="AD70" s="28"/>
    </row>
    <row r="71" spans="1:30" ht="20.25" customHeight="1" x14ac:dyDescent="0.25">
      <c r="D71" s="157" t="s">
        <v>35</v>
      </c>
      <c r="E71" s="157" t="s">
        <v>36</v>
      </c>
      <c r="F71" s="157" t="s">
        <v>37</v>
      </c>
      <c r="G71" s="157" t="s">
        <v>38</v>
      </c>
      <c r="H71" s="157" t="s">
        <v>39</v>
      </c>
      <c r="I71" s="157" t="s">
        <v>40</v>
      </c>
      <c r="AB71" s="29"/>
      <c r="AD71" s="28"/>
    </row>
    <row r="72" spans="1:30" ht="20.25" customHeight="1" x14ac:dyDescent="0.25">
      <c r="D72" s="161"/>
      <c r="E72" s="161"/>
      <c r="F72" s="161"/>
      <c r="G72" s="161"/>
      <c r="H72" s="161"/>
      <c r="I72" s="161"/>
      <c r="AB72" s="29"/>
      <c r="AD72" s="28"/>
    </row>
    <row r="73" spans="1:30" ht="20.25" customHeight="1" x14ac:dyDescent="0.25">
      <c r="B73" s="565" t="s">
        <v>339</v>
      </c>
      <c r="C73" s="565"/>
      <c r="D73" s="110">
        <f>+INGRESOS!C31</f>
        <v>0</v>
      </c>
      <c r="E73" s="110">
        <f>+INGRESOS!D31</f>
        <v>977180000.00000012</v>
      </c>
      <c r="F73" s="110">
        <f>+INGRESOS!E31</f>
        <v>1014664624.8000001</v>
      </c>
      <c r="G73" s="110">
        <f>+INGRESOS!F31</f>
        <v>1073312240.1134399</v>
      </c>
      <c r="H73" s="110">
        <f>+INGRESOS!G31</f>
        <v>1144210953.4463732</v>
      </c>
      <c r="I73" s="110">
        <f>+INGRESOS!H31</f>
        <v>1226884771.6766875</v>
      </c>
      <c r="AB73" s="29"/>
      <c r="AD73" s="28"/>
    </row>
    <row r="74" spans="1:30" ht="20.25" customHeight="1" x14ac:dyDescent="0.25">
      <c r="B74" s="565" t="s">
        <v>274</v>
      </c>
      <c r="C74" s="565"/>
      <c r="D74" s="158">
        <f>+'DETALLE COSTOS'!E67</f>
        <v>0</v>
      </c>
      <c r="E74" s="115">
        <f>+'DETALLE COSTOS'!F67</f>
        <v>662710249.33333325</v>
      </c>
      <c r="F74" s="115">
        <f>+'DETALLE COSTOS'!G67</f>
        <v>686601528.55866659</v>
      </c>
      <c r="G74" s="115">
        <f>+'DETALLE COSTOS'!H67</f>
        <v>702619830.5296613</v>
      </c>
      <c r="H74" s="115">
        <f>+'DETALLE COSTOS'!I67</f>
        <v>718937372.88714004</v>
      </c>
      <c r="I74" s="115">
        <f>+'DETALLE COSTOS'!J67</f>
        <v>737573040.54487705</v>
      </c>
      <c r="AB74" s="29"/>
      <c r="AD74" s="28"/>
    </row>
    <row r="75" spans="1:30" ht="20.25" customHeight="1" x14ac:dyDescent="0.25">
      <c r="B75" s="565" t="s">
        <v>371</v>
      </c>
      <c r="C75" s="565"/>
      <c r="D75" s="167"/>
      <c r="E75" s="115">
        <f>+E34</f>
        <v>25414840</v>
      </c>
      <c r="F75" s="115">
        <f>+F34</f>
        <v>25414840</v>
      </c>
      <c r="G75" s="115">
        <f>+G34</f>
        <v>25414840</v>
      </c>
      <c r="H75" s="115">
        <f>+H34</f>
        <v>25414840</v>
      </c>
      <c r="I75" s="115">
        <f>+I34</f>
        <v>25414840</v>
      </c>
      <c r="J75" s="102"/>
    </row>
    <row r="76" spans="1:30" ht="20.25" customHeight="1" x14ac:dyDescent="0.25">
      <c r="B76" s="565" t="s">
        <v>132</v>
      </c>
      <c r="C76" s="565"/>
      <c r="D76" s="88"/>
      <c r="E76" s="115">
        <f>+E48</f>
        <v>24000000</v>
      </c>
      <c r="F76" s="115">
        <f>+F48</f>
        <v>20510174.841171078</v>
      </c>
      <c r="G76" s="115">
        <f>+G48</f>
        <v>16461977.656929526</v>
      </c>
      <c r="H76" s="115">
        <f>+H48</f>
        <v>11766068.923209326</v>
      </c>
      <c r="I76" s="115">
        <f>+I48</f>
        <v>6318814.7920938944</v>
      </c>
      <c r="J76" s="102"/>
    </row>
    <row r="77" spans="1:30" ht="20.25" customHeight="1" x14ac:dyDescent="0.25">
      <c r="B77" s="168"/>
      <c r="C77" s="168"/>
      <c r="D77" s="45"/>
      <c r="E77" s="169"/>
      <c r="F77" s="169"/>
      <c r="G77" s="169"/>
      <c r="H77" s="169"/>
      <c r="I77" s="169"/>
      <c r="J77" s="102"/>
    </row>
    <row r="78" spans="1:30" ht="20.25" customHeight="1" x14ac:dyDescent="0.25">
      <c r="B78" s="565" t="s">
        <v>372</v>
      </c>
      <c r="C78" s="565"/>
      <c r="D78" s="116"/>
      <c r="E78" s="116">
        <f>+E73-E74-E75-E76</f>
        <v>265054910.66666687</v>
      </c>
      <c r="F78" s="116">
        <f t="shared" ref="F78:I78" si="4">+F73-F74-F75-F76</f>
        <v>282138081.4001624</v>
      </c>
      <c r="G78" s="116">
        <f t="shared" si="4"/>
        <v>328815591.92684907</v>
      </c>
      <c r="H78" s="116">
        <f t="shared" si="4"/>
        <v>388092671.63602388</v>
      </c>
      <c r="I78" s="116">
        <f t="shared" si="4"/>
        <v>457578076.33971655</v>
      </c>
      <c r="AB78" s="29"/>
      <c r="AD78" s="28"/>
    </row>
    <row r="79" spans="1:30" ht="20.25" customHeight="1" x14ac:dyDescent="0.25">
      <c r="B79" s="168"/>
      <c r="C79" s="168"/>
      <c r="D79" s="126"/>
      <c r="E79" s="126"/>
      <c r="F79" s="126"/>
      <c r="G79" s="126"/>
      <c r="H79" s="126"/>
      <c r="I79" s="126"/>
      <c r="AB79" s="29"/>
      <c r="AD79" s="28"/>
    </row>
    <row r="80" spans="1:30" ht="20.25" customHeight="1" x14ac:dyDescent="0.25">
      <c r="B80" s="553" t="s">
        <v>373</v>
      </c>
      <c r="C80" s="553"/>
      <c r="D80" s="110">
        <f>+D78*PROYECCIONES!G25</f>
        <v>0</v>
      </c>
      <c r="E80" s="110">
        <f>+E78*$E$40</f>
        <v>92769218.733333394</v>
      </c>
      <c r="F80" s="110">
        <f t="shared" ref="F80:I80" si="5">+F78*$E$40</f>
        <v>98748328.490056828</v>
      </c>
      <c r="G80" s="110">
        <f t="shared" si="5"/>
        <v>115085457.17439717</v>
      </c>
      <c r="H80" s="110">
        <f t="shared" si="5"/>
        <v>135832435.07260835</v>
      </c>
      <c r="I80" s="110">
        <f t="shared" si="5"/>
        <v>160152326.71890077</v>
      </c>
    </row>
    <row r="81" spans="1:30" ht="20.25" customHeight="1" x14ac:dyDescent="0.25">
      <c r="B81" s="64"/>
      <c r="C81" s="64"/>
      <c r="D81" s="170"/>
      <c r="E81" s="170"/>
      <c r="F81" s="170"/>
      <c r="G81" s="170"/>
      <c r="H81" s="170"/>
      <c r="I81" s="170"/>
    </row>
    <row r="82" spans="1:30" ht="20.25" customHeight="1" x14ac:dyDescent="0.25">
      <c r="B82" s="554" t="s">
        <v>136</v>
      </c>
      <c r="C82" s="555"/>
      <c r="D82" s="171"/>
      <c r="E82" s="172">
        <f>+E78-E80</f>
        <v>172285691.93333346</v>
      </c>
      <c r="F82" s="172">
        <f t="shared" ref="F82:I82" si="6">+F78-F80</f>
        <v>183389752.91010559</v>
      </c>
      <c r="G82" s="172">
        <f t="shared" si="6"/>
        <v>213730134.7524519</v>
      </c>
      <c r="H82" s="172">
        <f t="shared" si="6"/>
        <v>252260236.56341553</v>
      </c>
      <c r="I82" s="172">
        <f t="shared" si="6"/>
        <v>297425749.62081575</v>
      </c>
    </row>
    <row r="83" spans="1:30" ht="20.25" customHeight="1" x14ac:dyDescent="0.25"/>
    <row r="84" spans="1:30" ht="20.25" customHeight="1" x14ac:dyDescent="0.25">
      <c r="B84" s="553" t="s">
        <v>371</v>
      </c>
      <c r="C84" s="553"/>
      <c r="D84" s="88"/>
      <c r="E84" s="115">
        <f>+E75</f>
        <v>25414840</v>
      </c>
      <c r="F84" s="115">
        <f t="shared" ref="F84:I84" si="7">+F75</f>
        <v>25414840</v>
      </c>
      <c r="G84" s="115">
        <f t="shared" si="7"/>
        <v>25414840</v>
      </c>
      <c r="H84" s="115">
        <f t="shared" si="7"/>
        <v>25414840</v>
      </c>
      <c r="I84" s="115">
        <f t="shared" si="7"/>
        <v>25414840</v>
      </c>
    </row>
    <row r="85" spans="1:30" ht="20.25" customHeight="1" x14ac:dyDescent="0.25"/>
    <row r="86" spans="1:30" ht="20.25" customHeight="1" x14ac:dyDescent="0.25">
      <c r="B86" s="553" t="s">
        <v>374</v>
      </c>
      <c r="C86" s="553"/>
      <c r="D86" s="88"/>
      <c r="E86" s="115">
        <f>+E54</f>
        <v>21811407.242680773</v>
      </c>
      <c r="F86" s="115">
        <f>+F54</f>
        <v>25301232.401509695</v>
      </c>
      <c r="G86" s="115">
        <f>+G54</f>
        <v>29349429.585751247</v>
      </c>
      <c r="H86" s="115">
        <f>+H54</f>
        <v>34045338.319471449</v>
      </c>
      <c r="I86" s="115">
        <f>+I54</f>
        <v>39492592.450586878</v>
      </c>
    </row>
    <row r="87" spans="1:30" ht="20.25" customHeight="1" x14ac:dyDescent="0.25"/>
    <row r="88" spans="1:30" ht="20.25" customHeight="1" x14ac:dyDescent="0.25">
      <c r="B88" s="554" t="s">
        <v>364</v>
      </c>
      <c r="C88" s="555"/>
      <c r="D88" s="171"/>
      <c r="E88" s="172">
        <f>+E82+E84-E86</f>
        <v>175889124.69065267</v>
      </c>
      <c r="F88" s="172">
        <f t="shared" ref="F88:I88" si="8">+F82+F84-F86</f>
        <v>183503360.50859588</v>
      </c>
      <c r="G88" s="172">
        <f t="shared" si="8"/>
        <v>209795545.16670066</v>
      </c>
      <c r="H88" s="172">
        <f t="shared" si="8"/>
        <v>243629738.24394408</v>
      </c>
      <c r="I88" s="172">
        <f t="shared" si="8"/>
        <v>283347997.1702289</v>
      </c>
      <c r="AC88" s="28"/>
      <c r="AD88" s="28"/>
    </row>
    <row r="90" spans="1:30" ht="24" customHeight="1" x14ac:dyDescent="0.4">
      <c r="A90" s="556" t="s">
        <v>375</v>
      </c>
      <c r="B90" s="556"/>
      <c r="C90" s="556"/>
      <c r="D90" s="556"/>
      <c r="E90" s="556"/>
      <c r="F90" s="556"/>
      <c r="AC90" s="28"/>
      <c r="AD90" s="28"/>
    </row>
    <row r="92" spans="1:30" ht="18.75" customHeight="1" x14ac:dyDescent="0.25">
      <c r="D92" s="157" t="s">
        <v>35</v>
      </c>
      <c r="E92" s="157" t="s">
        <v>36</v>
      </c>
      <c r="F92" s="157" t="s">
        <v>37</v>
      </c>
      <c r="G92" s="157" t="s">
        <v>38</v>
      </c>
      <c r="H92" s="157" t="s">
        <v>39</v>
      </c>
      <c r="I92" s="157" t="s">
        <v>40</v>
      </c>
      <c r="AC92" s="28"/>
      <c r="AD92" s="28"/>
    </row>
    <row r="93" spans="1:30" ht="18.75" customHeight="1" x14ac:dyDescent="0.25">
      <c r="D93" s="161"/>
      <c r="E93" s="161"/>
      <c r="F93" s="161"/>
      <c r="G93" s="161"/>
      <c r="H93" s="161"/>
      <c r="I93" s="161"/>
      <c r="AC93" s="28"/>
      <c r="AD93" s="28"/>
    </row>
    <row r="94" spans="1:30" ht="18.75" customHeight="1" x14ac:dyDescent="0.25">
      <c r="B94" s="476" t="s">
        <v>376</v>
      </c>
      <c r="C94" s="476"/>
      <c r="D94" s="110">
        <f>+G9+G16+G21</f>
        <v>141698000</v>
      </c>
      <c r="E94" s="110">
        <f>+INGRESOS!D57</f>
        <v>0</v>
      </c>
      <c r="F94" s="110">
        <f>+INGRESOS!E57</f>
        <v>0</v>
      </c>
      <c r="G94" s="110">
        <f>+INGRESOS!F57</f>
        <v>0</v>
      </c>
      <c r="H94" s="110">
        <f>+INGRESOS!G57</f>
        <v>0</v>
      </c>
      <c r="I94" s="110">
        <f>+INGRESOS!H57</f>
        <v>0</v>
      </c>
      <c r="AC94" s="28"/>
      <c r="AD94" s="28"/>
    </row>
    <row r="95" spans="1:30" ht="18.75" customHeight="1" x14ac:dyDescent="0.25">
      <c r="B95" s="168"/>
      <c r="C95" s="168"/>
      <c r="D95" s="170"/>
      <c r="E95" s="170"/>
      <c r="F95" s="170"/>
      <c r="G95" s="170"/>
      <c r="H95" s="170"/>
      <c r="I95" s="170"/>
      <c r="AC95" s="28"/>
      <c r="AD95" s="28"/>
    </row>
    <row r="96" spans="1:30" ht="18.75" customHeight="1" x14ac:dyDescent="0.25">
      <c r="B96" s="476" t="s">
        <v>377</v>
      </c>
      <c r="C96" s="476"/>
      <c r="D96" s="115">
        <f t="shared" ref="D96:I96" si="9">+D60</f>
        <v>316301952</v>
      </c>
      <c r="E96" s="115">
        <f t="shared" si="9"/>
        <v>11402959.683137476</v>
      </c>
      <c r="F96" s="115">
        <f t="shared" si="9"/>
        <v>7645302.2814238071</v>
      </c>
      <c r="G96" s="115">
        <f t="shared" si="9"/>
        <v>7788125.3605256677</v>
      </c>
      <c r="H96" s="115">
        <f t="shared" si="9"/>
        <v>8894532.8111269474</v>
      </c>
      <c r="I96" s="115">
        <f t="shared" si="9"/>
        <v>0</v>
      </c>
      <c r="AC96" s="28"/>
      <c r="AD96" s="28"/>
    </row>
    <row r="97" spans="1:30" ht="18.75" customHeight="1" x14ac:dyDescent="0.25">
      <c r="B97" s="168"/>
      <c r="C97" s="168"/>
      <c r="D97" s="169"/>
      <c r="E97" s="169"/>
      <c r="F97" s="169"/>
      <c r="G97" s="169"/>
      <c r="H97" s="169"/>
      <c r="I97" s="169"/>
      <c r="AC97" s="28"/>
      <c r="AD97" s="28"/>
    </row>
    <row r="98" spans="1:30" ht="18.75" customHeight="1" x14ac:dyDescent="0.25">
      <c r="B98" s="476" t="s">
        <v>378</v>
      </c>
      <c r="C98" s="476"/>
      <c r="D98" s="115">
        <f>+D47</f>
        <v>150000000</v>
      </c>
      <c r="E98" s="115"/>
      <c r="F98" s="115"/>
      <c r="G98" s="115"/>
      <c r="H98" s="115"/>
      <c r="I98" s="115"/>
      <c r="AC98" s="28"/>
      <c r="AD98" s="28"/>
    </row>
    <row r="99" spans="1:30" ht="18.75" customHeight="1" x14ac:dyDescent="0.25">
      <c r="B99" s="168"/>
      <c r="C99" s="168"/>
      <c r="D99" s="45"/>
      <c r="E99" s="169"/>
      <c r="F99" s="169"/>
      <c r="G99" s="169"/>
      <c r="H99" s="169"/>
      <c r="I99" s="169"/>
      <c r="AC99" s="28"/>
      <c r="AD99" s="28"/>
    </row>
    <row r="100" spans="1:30" ht="18.75" customHeight="1" x14ac:dyDescent="0.25">
      <c r="B100" s="564" t="s">
        <v>379</v>
      </c>
      <c r="C100" s="564"/>
      <c r="D100" s="163">
        <f>+D94+D96-D98</f>
        <v>307999952</v>
      </c>
      <c r="E100" s="163">
        <f t="shared" ref="E100:I100" si="10">+E94+E96-E98</f>
        <v>11402959.683137476</v>
      </c>
      <c r="F100" s="163">
        <f t="shared" si="10"/>
        <v>7645302.2814238071</v>
      </c>
      <c r="G100" s="163">
        <f t="shared" si="10"/>
        <v>7788125.3605256677</v>
      </c>
      <c r="H100" s="163">
        <f t="shared" si="10"/>
        <v>8894532.8111269474</v>
      </c>
      <c r="I100" s="163">
        <f t="shared" si="10"/>
        <v>0</v>
      </c>
      <c r="AC100" s="28"/>
      <c r="AD100" s="28"/>
    </row>
    <row r="101" spans="1:30" ht="24" customHeight="1" x14ac:dyDescent="0.25">
      <c r="B101" s="168"/>
      <c r="C101" s="168"/>
      <c r="D101" s="45"/>
      <c r="E101" s="169"/>
      <c r="F101" s="169"/>
      <c r="G101" s="169"/>
      <c r="H101" s="169"/>
      <c r="I101" s="169"/>
      <c r="AC101" s="28"/>
      <c r="AD101" s="28"/>
    </row>
    <row r="102" spans="1:30" ht="24" customHeight="1" x14ac:dyDescent="0.4">
      <c r="A102" s="556" t="s">
        <v>382</v>
      </c>
      <c r="B102" s="556"/>
      <c r="C102" s="556"/>
      <c r="D102" s="556"/>
      <c r="E102" s="556"/>
      <c r="F102" s="556"/>
      <c r="AC102" s="28"/>
      <c r="AD102" s="28"/>
    </row>
    <row r="104" spans="1:30" ht="15.75" customHeight="1" x14ac:dyDescent="0.25">
      <c r="D104" s="157" t="s">
        <v>35</v>
      </c>
      <c r="E104" s="157" t="s">
        <v>36</v>
      </c>
      <c r="F104" s="157" t="s">
        <v>37</v>
      </c>
      <c r="G104" s="157" t="s">
        <v>38</v>
      </c>
      <c r="H104" s="157" t="s">
        <v>39</v>
      </c>
      <c r="I104" s="157" t="s">
        <v>40</v>
      </c>
      <c r="AC104" s="28"/>
      <c r="AD104" s="28"/>
    </row>
    <row r="105" spans="1:30" ht="15.75" customHeight="1" x14ac:dyDescent="0.25">
      <c r="D105" s="161"/>
      <c r="E105" s="161"/>
      <c r="F105" s="161"/>
      <c r="G105" s="161"/>
      <c r="H105" s="161"/>
      <c r="I105" s="161"/>
      <c r="AC105" s="28"/>
      <c r="AD105" s="28"/>
    </row>
    <row r="106" spans="1:30" ht="15.75" customHeight="1" x14ac:dyDescent="0.25">
      <c r="B106" s="476" t="s">
        <v>383</v>
      </c>
      <c r="C106" s="476"/>
      <c r="D106" s="110">
        <f t="shared" ref="D106:I106" si="11">+D88</f>
        <v>0</v>
      </c>
      <c r="E106" s="110">
        <f t="shared" si="11"/>
        <v>175889124.69065267</v>
      </c>
      <c r="F106" s="110">
        <f t="shared" si="11"/>
        <v>183503360.50859588</v>
      </c>
      <c r="G106" s="110">
        <f t="shared" si="11"/>
        <v>209795545.16670066</v>
      </c>
      <c r="H106" s="110">
        <f t="shared" si="11"/>
        <v>243629738.24394408</v>
      </c>
      <c r="I106" s="110">
        <f t="shared" si="11"/>
        <v>283347997.1702289</v>
      </c>
      <c r="AC106" s="28"/>
      <c r="AD106" s="28"/>
    </row>
    <row r="107" spans="1:30" ht="15.75" customHeight="1" x14ac:dyDescent="0.25">
      <c r="B107" s="168"/>
      <c r="C107" s="168"/>
      <c r="D107" s="170"/>
      <c r="E107" s="170"/>
      <c r="F107" s="170"/>
      <c r="G107" s="170"/>
      <c r="H107" s="170"/>
      <c r="I107" s="170"/>
      <c r="AC107" s="28"/>
      <c r="AD107" s="28"/>
    </row>
    <row r="108" spans="1:30" ht="15.75" customHeight="1" x14ac:dyDescent="0.25">
      <c r="B108" s="476" t="s">
        <v>384</v>
      </c>
      <c r="C108" s="476"/>
      <c r="D108" s="115">
        <f t="shared" ref="D108:I108" si="12">+D100</f>
        <v>307999952</v>
      </c>
      <c r="E108" s="115">
        <f t="shared" si="12"/>
        <v>11402959.683137476</v>
      </c>
      <c r="F108" s="115">
        <f t="shared" si="12"/>
        <v>7645302.2814238071</v>
      </c>
      <c r="G108" s="115">
        <f t="shared" si="12"/>
        <v>7788125.3605256677</v>
      </c>
      <c r="H108" s="115">
        <f t="shared" si="12"/>
        <v>8894532.8111269474</v>
      </c>
      <c r="I108" s="115">
        <f t="shared" si="12"/>
        <v>0</v>
      </c>
      <c r="AC108" s="28"/>
      <c r="AD108" s="28"/>
    </row>
    <row r="109" spans="1:30" ht="15.75" customHeight="1" x14ac:dyDescent="0.25">
      <c r="B109" s="168"/>
      <c r="C109" s="168"/>
      <c r="D109" s="45"/>
      <c r="E109" s="169"/>
      <c r="F109" s="169"/>
      <c r="G109" s="169"/>
      <c r="H109" s="169"/>
      <c r="I109" s="169"/>
      <c r="AC109" s="28"/>
      <c r="AD109" s="28"/>
    </row>
    <row r="110" spans="1:30" ht="15.75" customHeight="1" x14ac:dyDescent="0.25">
      <c r="B110" s="564" t="s">
        <v>382</v>
      </c>
      <c r="C110" s="564"/>
      <c r="D110" s="163">
        <f>+D106-D108</f>
        <v>-307999952</v>
      </c>
      <c r="E110" s="163">
        <f t="shared" ref="E110:I110" si="13">+E106-E108</f>
        <v>164486165.00751519</v>
      </c>
      <c r="F110" s="163">
        <f t="shared" si="13"/>
        <v>175858058.22717208</v>
      </c>
      <c r="G110" s="163">
        <f t="shared" si="13"/>
        <v>202007419.80617499</v>
      </c>
      <c r="H110" s="163">
        <f t="shared" si="13"/>
        <v>234735205.43281713</v>
      </c>
      <c r="I110" s="163">
        <f t="shared" si="13"/>
        <v>283347997.1702289</v>
      </c>
      <c r="AC110" s="28"/>
      <c r="AD110" s="28"/>
    </row>
    <row r="111" spans="1:30" ht="24" customHeight="1" x14ac:dyDescent="0.25">
      <c r="I111" s="101"/>
    </row>
    <row r="112" spans="1:30" ht="24" customHeight="1" x14ac:dyDescent="0.4">
      <c r="A112" s="556" t="s">
        <v>201</v>
      </c>
      <c r="B112" s="556"/>
      <c r="C112" s="556"/>
      <c r="D112" s="556"/>
      <c r="E112" s="556"/>
      <c r="F112" s="556"/>
      <c r="AC112" s="28"/>
      <c r="AD112" s="28"/>
    </row>
    <row r="114" spans="1:30" ht="20.25" customHeight="1" x14ac:dyDescent="0.25">
      <c r="D114" s="157" t="s">
        <v>35</v>
      </c>
      <c r="E114" s="157" t="s">
        <v>36</v>
      </c>
      <c r="F114" s="157" t="s">
        <v>37</v>
      </c>
      <c r="G114" s="157" t="s">
        <v>38</v>
      </c>
      <c r="H114" s="157" t="s">
        <v>39</v>
      </c>
      <c r="I114" s="157" t="s">
        <v>40</v>
      </c>
      <c r="AC114" s="28"/>
      <c r="AD114" s="28"/>
    </row>
    <row r="115" spans="1:30" ht="20.25" customHeight="1" x14ac:dyDescent="0.25">
      <c r="D115" s="161"/>
      <c r="E115" s="161"/>
      <c r="F115" s="161"/>
      <c r="G115" s="161"/>
      <c r="H115" s="161"/>
      <c r="I115" s="161"/>
      <c r="AC115" s="28"/>
      <c r="AD115" s="28"/>
    </row>
    <row r="116" spans="1:30" ht="20.25" customHeight="1" x14ac:dyDescent="0.25">
      <c r="B116" s="476" t="s">
        <v>385</v>
      </c>
      <c r="C116" s="476"/>
      <c r="D116" s="110">
        <f t="shared" ref="D116:I116" si="14">+D96</f>
        <v>316301952</v>
      </c>
      <c r="E116" s="110">
        <f t="shared" si="14"/>
        <v>11402959.683137476</v>
      </c>
      <c r="F116" s="110">
        <f t="shared" si="14"/>
        <v>7645302.2814238071</v>
      </c>
      <c r="G116" s="110">
        <f t="shared" si="14"/>
        <v>7788125.3605256677</v>
      </c>
      <c r="H116" s="110">
        <f t="shared" si="14"/>
        <v>8894532.8111269474</v>
      </c>
      <c r="I116" s="110">
        <f t="shared" si="14"/>
        <v>0</v>
      </c>
      <c r="AC116" s="28"/>
      <c r="AD116" s="28"/>
    </row>
    <row r="117" spans="1:30" ht="20.25" customHeight="1" x14ac:dyDescent="0.25">
      <c r="B117" s="168"/>
      <c r="C117" s="168"/>
      <c r="D117" s="170"/>
      <c r="E117" s="170"/>
      <c r="F117" s="170"/>
      <c r="G117" s="170"/>
      <c r="H117" s="170"/>
      <c r="I117" s="170"/>
      <c r="AC117" s="28"/>
      <c r="AD117" s="28"/>
    </row>
    <row r="118" spans="1:30" ht="20.25" customHeight="1" x14ac:dyDescent="0.25">
      <c r="B118" s="476" t="s">
        <v>386</v>
      </c>
      <c r="C118" s="476"/>
      <c r="D118" s="115">
        <f>+D47</f>
        <v>150000000</v>
      </c>
      <c r="E118" s="115"/>
      <c r="F118" s="115"/>
      <c r="G118" s="115"/>
      <c r="H118" s="115"/>
      <c r="I118" s="115"/>
      <c r="AC118" s="28"/>
      <c r="AD118" s="28"/>
    </row>
    <row r="119" spans="1:30" ht="20.25" customHeight="1" x14ac:dyDescent="0.25">
      <c r="B119" s="168"/>
      <c r="C119" s="168"/>
      <c r="D119" s="45"/>
      <c r="E119" s="169"/>
      <c r="F119" s="169"/>
      <c r="G119" s="169"/>
      <c r="H119" s="169"/>
      <c r="I119" s="169"/>
      <c r="AC119" s="28"/>
      <c r="AD119" s="28"/>
    </row>
    <row r="120" spans="1:30" ht="20.25" customHeight="1" x14ac:dyDescent="0.25">
      <c r="B120" s="490" t="s">
        <v>387</v>
      </c>
      <c r="C120" s="490"/>
      <c r="D120" s="116"/>
      <c r="E120" s="115">
        <f>+E76</f>
        <v>24000000</v>
      </c>
      <c r="F120" s="115">
        <f>+F76</f>
        <v>20510174.841171078</v>
      </c>
      <c r="G120" s="115">
        <f>+G76</f>
        <v>16461977.656929526</v>
      </c>
      <c r="H120" s="115">
        <f>+H76</f>
        <v>11766068.923209326</v>
      </c>
      <c r="I120" s="115">
        <f>+I76</f>
        <v>6318814.7920938944</v>
      </c>
      <c r="AC120" s="28"/>
      <c r="AD120" s="28"/>
    </row>
    <row r="121" spans="1:30" ht="20.25" customHeight="1" x14ac:dyDescent="0.25">
      <c r="B121" s="168"/>
      <c r="C121" s="168"/>
      <c r="D121" s="126"/>
      <c r="E121" s="126"/>
      <c r="F121" s="126"/>
      <c r="G121" s="126"/>
      <c r="H121" s="126"/>
      <c r="I121" s="126"/>
      <c r="AC121" s="28"/>
      <c r="AD121" s="28"/>
    </row>
    <row r="122" spans="1:30" ht="20.25" customHeight="1" x14ac:dyDescent="0.25">
      <c r="B122" s="553" t="s">
        <v>388</v>
      </c>
      <c r="C122" s="553"/>
      <c r="D122" s="110"/>
      <c r="E122" s="110">
        <f>+E86</f>
        <v>21811407.242680773</v>
      </c>
      <c r="F122" s="110">
        <f>+F86</f>
        <v>25301232.401509695</v>
      </c>
      <c r="G122" s="110">
        <f>+G86</f>
        <v>29349429.585751247</v>
      </c>
      <c r="H122" s="110">
        <f>+H86</f>
        <v>34045338.319471449</v>
      </c>
      <c r="I122" s="110">
        <f>+I86</f>
        <v>39492592.450586878</v>
      </c>
      <c r="AC122" s="28"/>
      <c r="AD122" s="28"/>
    </row>
    <row r="123" spans="1:30" ht="20.25" customHeight="1" x14ac:dyDescent="0.25">
      <c r="B123" s="64"/>
      <c r="C123" s="64"/>
      <c r="D123" s="170"/>
      <c r="E123" s="170"/>
      <c r="F123" s="170"/>
      <c r="G123" s="170"/>
      <c r="H123" s="170"/>
      <c r="I123" s="170"/>
      <c r="AC123" s="28"/>
      <c r="AD123" s="28"/>
    </row>
    <row r="124" spans="1:30" ht="20.25" customHeight="1" x14ac:dyDescent="0.25">
      <c r="B124" s="553" t="s">
        <v>389</v>
      </c>
      <c r="C124" s="553"/>
      <c r="D124" s="88"/>
      <c r="E124" s="115">
        <f>+E120*$E$40</f>
        <v>8400000</v>
      </c>
      <c r="F124" s="115">
        <f t="shared" ref="F124:I124" si="15">+F120*$E$40</f>
        <v>7178561.1944098771</v>
      </c>
      <c r="G124" s="115">
        <f t="shared" si="15"/>
        <v>5761692.1799253337</v>
      </c>
      <c r="H124" s="115">
        <f t="shared" si="15"/>
        <v>4118124.1231232639</v>
      </c>
      <c r="I124" s="115">
        <f t="shared" si="15"/>
        <v>2211585.1772328629</v>
      </c>
      <c r="AC124" s="28"/>
      <c r="AD124" s="28"/>
    </row>
    <row r="125" spans="1:30" ht="20.25" customHeight="1" x14ac:dyDescent="0.25">
      <c r="AC125" s="28"/>
      <c r="AD125" s="28"/>
    </row>
    <row r="126" spans="1:30" ht="20.25" customHeight="1" x14ac:dyDescent="0.25">
      <c r="B126" s="554" t="s">
        <v>201</v>
      </c>
      <c r="C126" s="555"/>
      <c r="D126" s="163">
        <f>+D110-D118+D120+D122-D124</f>
        <v>-457999952</v>
      </c>
      <c r="E126" s="163">
        <f t="shared" ref="E126:I126" si="16">+E110-E118+E120+E122-E124</f>
        <v>201897572.25019598</v>
      </c>
      <c r="F126" s="163">
        <f t="shared" si="16"/>
        <v>214490904.27544299</v>
      </c>
      <c r="G126" s="163">
        <f t="shared" si="16"/>
        <v>242057134.86893043</v>
      </c>
      <c r="H126" s="163">
        <f t="shared" si="16"/>
        <v>276428488.5523746</v>
      </c>
      <c r="I126" s="163">
        <f t="shared" si="16"/>
        <v>326947819.23567677</v>
      </c>
      <c r="AC126" s="28"/>
      <c r="AD126" s="28"/>
    </row>
    <row r="127" spans="1:30" ht="24" customHeight="1" x14ac:dyDescent="0.25">
      <c r="I127" s="101">
        <f>IRR(D126:I126)</f>
        <v>0.4196451687711944</v>
      </c>
    </row>
    <row r="128" spans="1:30" ht="24" customHeight="1" x14ac:dyDescent="0.4">
      <c r="A128" s="556" t="s">
        <v>390</v>
      </c>
      <c r="B128" s="556"/>
      <c r="C128" s="556"/>
      <c r="D128" s="556"/>
      <c r="E128" s="556"/>
      <c r="F128" s="556"/>
      <c r="AC128" s="28"/>
      <c r="AD128" s="28"/>
    </row>
    <row r="130" spans="1:30" ht="24" customHeight="1" x14ac:dyDescent="0.35">
      <c r="A130" s="78" t="s">
        <v>392</v>
      </c>
      <c r="B130" s="173" t="s">
        <v>394</v>
      </c>
      <c r="C130" s="173" t="s">
        <v>395</v>
      </c>
      <c r="E130" s="174" t="s">
        <v>391</v>
      </c>
      <c r="AC130" s="28"/>
      <c r="AD130" s="28"/>
    </row>
    <row r="132" spans="1:30" ht="19.5" customHeight="1" x14ac:dyDescent="0.25">
      <c r="A132" s="175" t="s">
        <v>393</v>
      </c>
      <c r="B132" s="176">
        <f>(I126*((1+E43))/(E67-E43))</f>
        <v>1371019732.4007466</v>
      </c>
      <c r="C132" s="176">
        <f>(I110*(1+E43)/(D65-E43))</f>
        <v>893635991.07533741</v>
      </c>
      <c r="D132" s="177"/>
      <c r="E132" s="551" t="s">
        <v>410</v>
      </c>
      <c r="F132" s="552"/>
      <c r="G132" s="115">
        <f>+D94-E84-F84-G84-H84-I84</f>
        <v>14623800</v>
      </c>
      <c r="AC132" s="28"/>
      <c r="AD132" s="28"/>
    </row>
    <row r="133" spans="1:30" ht="19.5" customHeight="1" x14ac:dyDescent="0.25">
      <c r="A133" s="177"/>
      <c r="B133" s="178"/>
      <c r="C133" s="177"/>
      <c r="D133" s="177"/>
      <c r="E133" s="177"/>
      <c r="F133" s="177"/>
      <c r="AC133" s="28"/>
      <c r="AD133" s="28"/>
    </row>
    <row r="134" spans="1:30" ht="19.5" customHeight="1" x14ac:dyDescent="0.25">
      <c r="A134" s="175" t="s">
        <v>408</v>
      </c>
      <c r="B134" s="179">
        <f>SUM(D60:I60)</f>
        <v>352032872.1362139</v>
      </c>
      <c r="C134" s="179">
        <f>SUM(D60:I60)</f>
        <v>352032872.1362139</v>
      </c>
      <c r="D134" s="177"/>
      <c r="E134" s="551" t="s">
        <v>411</v>
      </c>
      <c r="F134" s="552"/>
      <c r="G134" s="179">
        <f>SUM(D60:I60)</f>
        <v>352032872.1362139</v>
      </c>
      <c r="AC134" s="28"/>
      <c r="AD134" s="28"/>
    </row>
    <row r="135" spans="1:30" ht="19.5" customHeight="1" x14ac:dyDescent="0.25">
      <c r="A135" s="177"/>
      <c r="B135" s="180"/>
      <c r="C135" s="177"/>
      <c r="D135" s="177"/>
      <c r="E135" s="177"/>
      <c r="F135" s="177"/>
      <c r="AC135" s="28"/>
      <c r="AD135" s="28"/>
    </row>
    <row r="136" spans="1:30" ht="19.5" customHeight="1" x14ac:dyDescent="0.25">
      <c r="A136" s="175" t="s">
        <v>409</v>
      </c>
      <c r="B136" s="175">
        <v>0</v>
      </c>
      <c r="C136" s="175">
        <v>0</v>
      </c>
      <c r="D136" s="177"/>
      <c r="E136" s="551" t="s">
        <v>409</v>
      </c>
      <c r="F136" s="552"/>
      <c r="G136" s="88">
        <v>0</v>
      </c>
      <c r="AC136" s="28"/>
      <c r="AD136" s="28"/>
    </row>
    <row r="137" spans="1:30" ht="19.5" customHeight="1" x14ac:dyDescent="0.25">
      <c r="A137" s="177"/>
      <c r="B137" s="177"/>
      <c r="C137" s="177"/>
      <c r="D137" s="177"/>
      <c r="E137" s="177"/>
      <c r="F137" s="177"/>
      <c r="AC137" s="28"/>
      <c r="AD137" s="28"/>
    </row>
    <row r="138" spans="1:30" ht="19.5" customHeight="1" x14ac:dyDescent="0.25">
      <c r="A138" s="181" t="s">
        <v>390</v>
      </c>
      <c r="B138" s="182">
        <f>+B132+B134-B136</f>
        <v>1723052604.5369606</v>
      </c>
      <c r="C138" s="182">
        <f>+C132+C134-C136</f>
        <v>1245668863.2115512</v>
      </c>
      <c r="D138" s="177"/>
      <c r="E138" s="549" t="s">
        <v>390</v>
      </c>
      <c r="F138" s="550"/>
      <c r="G138" s="182">
        <f>+G132+G134-G136</f>
        <v>366656672.1362139</v>
      </c>
      <c r="AC138" s="28"/>
      <c r="AD138" s="28"/>
    </row>
    <row r="139" spans="1:30" ht="24" customHeight="1" x14ac:dyDescent="0.25">
      <c r="A139" s="177"/>
      <c r="B139" s="177"/>
      <c r="C139" s="177"/>
      <c r="D139" s="177"/>
      <c r="E139" s="177"/>
      <c r="F139" s="177"/>
      <c r="AC139" s="28"/>
      <c r="AD139" s="28"/>
    </row>
    <row r="140" spans="1:30" ht="24" customHeight="1" x14ac:dyDescent="0.35">
      <c r="A140" s="546" t="s">
        <v>412</v>
      </c>
      <c r="B140" s="547"/>
      <c r="C140" s="547"/>
      <c r="D140" s="547"/>
      <c r="E140" s="547"/>
      <c r="F140" s="548"/>
      <c r="AC140" s="28"/>
      <c r="AD140" s="28"/>
    </row>
    <row r="142" spans="1:30" ht="24" customHeight="1" x14ac:dyDescent="0.25">
      <c r="A142" s="545" t="s">
        <v>420</v>
      </c>
      <c r="B142" s="545"/>
      <c r="C142" s="545"/>
      <c r="D142" s="183">
        <f>+D110</f>
        <v>-307999952</v>
      </c>
      <c r="E142" s="183">
        <f t="shared" ref="E142:H142" si="17">+E110</f>
        <v>164486165.00751519</v>
      </c>
      <c r="F142" s="183">
        <f t="shared" si="17"/>
        <v>175858058.22717208</v>
      </c>
      <c r="G142" s="183">
        <f t="shared" si="17"/>
        <v>202007419.80617499</v>
      </c>
      <c r="H142" s="183">
        <f t="shared" si="17"/>
        <v>234735205.43281713</v>
      </c>
      <c r="I142" s="183">
        <f>+I110</f>
        <v>283347997.1702289</v>
      </c>
      <c r="J142" s="102"/>
      <c r="AC142" s="28"/>
      <c r="AD142" s="28"/>
    </row>
    <row r="144" spans="1:30" ht="24" customHeight="1" x14ac:dyDescent="0.25">
      <c r="C144" s="164" t="s">
        <v>415</v>
      </c>
      <c r="D144" s="184">
        <f>+D65</f>
        <v>0.35</v>
      </c>
      <c r="AC144" s="28"/>
      <c r="AD144" s="28"/>
    </row>
    <row r="145" spans="1:30" ht="24" customHeight="1" x14ac:dyDescent="0.25">
      <c r="C145" s="164" t="s">
        <v>416</v>
      </c>
      <c r="D145" s="185">
        <f>NPV(D144,E142:I142)+D142</f>
        <v>126300476.25655389</v>
      </c>
      <c r="AC145" s="28"/>
      <c r="AD145" s="28"/>
    </row>
    <row r="146" spans="1:30" ht="24" customHeight="1" x14ac:dyDescent="0.25">
      <c r="C146" s="164" t="s">
        <v>417</v>
      </c>
      <c r="D146" s="185">
        <f>+D145*D144</f>
        <v>44205166.689793855</v>
      </c>
      <c r="AC146" s="28"/>
      <c r="AD146" s="28"/>
    </row>
    <row r="147" spans="1:30" ht="24" customHeight="1" x14ac:dyDescent="0.25">
      <c r="C147" s="164" t="s">
        <v>419</v>
      </c>
      <c r="D147" s="186">
        <f>(D145-D142)/-D142</f>
        <v>1.4100665452589223</v>
      </c>
      <c r="AC147" s="28"/>
      <c r="AD147" s="28"/>
    </row>
    <row r="148" spans="1:30" ht="24" customHeight="1" x14ac:dyDescent="0.25">
      <c r="C148" s="164" t="s">
        <v>418</v>
      </c>
      <c r="D148" s="184">
        <f>IRR(D142:I142)</f>
        <v>0.54561255030202505</v>
      </c>
      <c r="AC148" s="28"/>
      <c r="AD148" s="28"/>
    </row>
    <row r="150" spans="1:30" ht="24" customHeight="1" x14ac:dyDescent="0.35">
      <c r="A150" s="546" t="s">
        <v>413</v>
      </c>
      <c r="B150" s="547"/>
      <c r="C150" s="547"/>
      <c r="D150" s="547"/>
      <c r="E150" s="547"/>
      <c r="F150" s="548"/>
      <c r="AC150" s="28"/>
      <c r="AD150" s="28"/>
    </row>
    <row r="152" spans="1:30" ht="24" customHeight="1" x14ac:dyDescent="0.25">
      <c r="A152" s="545" t="s">
        <v>414</v>
      </c>
      <c r="B152" s="545"/>
      <c r="C152" s="545"/>
      <c r="D152" s="183">
        <f>+D126</f>
        <v>-457999952</v>
      </c>
      <c r="E152" s="183">
        <f t="shared" ref="E152:I152" si="18">+E126</f>
        <v>201897572.25019598</v>
      </c>
      <c r="F152" s="183">
        <f t="shared" si="18"/>
        <v>214490904.27544299</v>
      </c>
      <c r="G152" s="183">
        <f t="shared" si="18"/>
        <v>242057134.86893043</v>
      </c>
      <c r="H152" s="183">
        <f t="shared" si="18"/>
        <v>276428488.5523746</v>
      </c>
      <c r="I152" s="183">
        <f t="shared" si="18"/>
        <v>326947819.23567677</v>
      </c>
      <c r="AC152" s="28"/>
      <c r="AD152" s="28"/>
    </row>
    <row r="154" spans="1:30" ht="24" customHeight="1" x14ac:dyDescent="0.25">
      <c r="C154" s="164" t="s">
        <v>396</v>
      </c>
      <c r="D154" s="184">
        <f>+E67</f>
        <v>0.26943230596670453</v>
      </c>
      <c r="AC154" s="28"/>
      <c r="AD154" s="28"/>
    </row>
    <row r="155" spans="1:30" ht="24" customHeight="1" x14ac:dyDescent="0.25">
      <c r="C155" s="164" t="s">
        <v>416</v>
      </c>
      <c r="D155" s="185">
        <f>NPV(D154,E152:I152)+D152</f>
        <v>158108924.70700717</v>
      </c>
      <c r="AC155" s="28"/>
      <c r="AD155" s="28"/>
    </row>
    <row r="156" spans="1:30" ht="24" customHeight="1" x14ac:dyDescent="0.25">
      <c r="C156" s="164" t="s">
        <v>417</v>
      </c>
      <c r="D156" s="185">
        <f>+D155*D154</f>
        <v>42599652.177725002</v>
      </c>
      <c r="AC156" s="28"/>
      <c r="AD156" s="28"/>
    </row>
    <row r="157" spans="1:30" ht="24" customHeight="1" x14ac:dyDescent="0.25">
      <c r="C157" s="164" t="s">
        <v>419</v>
      </c>
      <c r="D157" s="186">
        <f>(D155-D152)/-D152</f>
        <v>1.3452160289899051</v>
      </c>
      <c r="AC157" s="28"/>
      <c r="AD157" s="28"/>
    </row>
    <row r="158" spans="1:30" ht="24" customHeight="1" x14ac:dyDescent="0.25">
      <c r="C158" s="164" t="s">
        <v>418</v>
      </c>
      <c r="D158" s="184">
        <f>IRR(D152:I152)</f>
        <v>0.4196451687711944</v>
      </c>
      <c r="AC158" s="28"/>
      <c r="AD158" s="28"/>
    </row>
    <row r="161" spans="1:6" ht="24" customHeight="1" x14ac:dyDescent="0.35">
      <c r="A161" s="546" t="s">
        <v>465</v>
      </c>
      <c r="B161" s="547"/>
      <c r="C161" s="547"/>
      <c r="D161" s="547"/>
      <c r="E161" s="547"/>
      <c r="F161" s="548"/>
    </row>
    <row r="163" spans="1:6" ht="24" customHeight="1" x14ac:dyDescent="0.25">
      <c r="A163" s="40" t="s">
        <v>470</v>
      </c>
      <c r="B163" s="442">
        <v>0.35</v>
      </c>
    </row>
    <row r="164" spans="1:6" ht="24" customHeight="1" x14ac:dyDescent="0.25">
      <c r="A164" s="187" t="s">
        <v>466</v>
      </c>
      <c r="B164" s="187" t="s">
        <v>467</v>
      </c>
    </row>
    <row r="165" spans="1:6" ht="24" customHeight="1" x14ac:dyDescent="0.25">
      <c r="A165" s="187">
        <v>0</v>
      </c>
      <c r="B165" s="188">
        <f>+D126</f>
        <v>-457999952</v>
      </c>
    </row>
    <row r="166" spans="1:6" ht="24" customHeight="1" x14ac:dyDescent="0.25">
      <c r="A166" s="187">
        <v>1</v>
      </c>
      <c r="B166" s="188">
        <f>+E126</f>
        <v>201897572.25019598</v>
      </c>
      <c r="C166" s="82">
        <f>B166*(1+$B$163)^-A166</f>
        <v>149553757.22236738</v>
      </c>
      <c r="D166" s="240">
        <f>+B165+C166</f>
        <v>-308446194.77763259</v>
      </c>
    </row>
    <row r="167" spans="1:6" ht="24" customHeight="1" x14ac:dyDescent="0.25">
      <c r="A167" s="187">
        <v>2</v>
      </c>
      <c r="B167" s="188">
        <f>+F126</f>
        <v>214490904.27544299</v>
      </c>
      <c r="C167" s="82">
        <f t="shared" ref="C167:C170" si="19">B167*(1+$B$163)^-A167</f>
        <v>117690482.45566143</v>
      </c>
      <c r="D167" s="240">
        <f>+D166+C167</f>
        <v>-190755712.32197118</v>
      </c>
    </row>
    <row r="168" spans="1:6" ht="24" customHeight="1" x14ac:dyDescent="0.25">
      <c r="A168" s="187">
        <v>3</v>
      </c>
      <c r="B168" s="188">
        <f>+G126</f>
        <v>242057134.86893043</v>
      </c>
      <c r="C168" s="82">
        <f t="shared" si="19"/>
        <v>98382212.007897332</v>
      </c>
      <c r="D168" s="240">
        <f t="shared" ref="D168:D170" si="20">+D167+C168</f>
        <v>-92373500.314073846</v>
      </c>
    </row>
    <row r="169" spans="1:6" ht="24" customHeight="1" x14ac:dyDescent="0.25">
      <c r="A169" s="187">
        <v>4</v>
      </c>
      <c r="B169" s="188">
        <f>+H126</f>
        <v>276428488.5523746</v>
      </c>
      <c r="C169" s="82">
        <f t="shared" si="19"/>
        <v>83223835.135753408</v>
      </c>
      <c r="D169" s="240">
        <f t="shared" si="20"/>
        <v>-9149665.1783204377</v>
      </c>
    </row>
    <row r="170" spans="1:6" ht="24" customHeight="1" x14ac:dyDescent="0.25">
      <c r="A170" s="187">
        <v>5</v>
      </c>
      <c r="B170" s="188">
        <f>+I126</f>
        <v>326947819.23567677</v>
      </c>
      <c r="C170" s="82">
        <f t="shared" si="19"/>
        <v>72913778.140325621</v>
      </c>
      <c r="D170" s="240">
        <f t="shared" si="20"/>
        <v>63764112.962005183</v>
      </c>
    </row>
    <row r="172" spans="1:6" ht="24" customHeight="1" x14ac:dyDescent="0.25">
      <c r="A172" s="581" t="s">
        <v>468</v>
      </c>
      <c r="B172" s="581"/>
      <c r="C172" s="443">
        <f>INTERCEPT(A169:A170,D169:D170)</f>
        <v>4.1254860934611219</v>
      </c>
      <c r="D172" s="444" t="s">
        <v>469</v>
      </c>
    </row>
  </sheetData>
  <mergeCells count="71">
    <mergeCell ref="A161:F161"/>
    <mergeCell ref="A172:B172"/>
    <mergeCell ref="A8:C8"/>
    <mergeCell ref="A24:C24"/>
    <mergeCell ref="A25:C25"/>
    <mergeCell ref="A27:C27"/>
    <mergeCell ref="A26:C26"/>
    <mergeCell ref="A9:C9"/>
    <mergeCell ref="A21:C21"/>
    <mergeCell ref="A12:C12"/>
    <mergeCell ref="A15:C15"/>
    <mergeCell ref="A16:C16"/>
    <mergeCell ref="D38:E38"/>
    <mergeCell ref="B118:C118"/>
    <mergeCell ref="B120:C120"/>
    <mergeCell ref="B122:C122"/>
    <mergeCell ref="AB20:AF20"/>
    <mergeCell ref="AH20:AL20"/>
    <mergeCell ref="A1:J1"/>
    <mergeCell ref="A36:J36"/>
    <mergeCell ref="A30:C30"/>
    <mergeCell ref="A31:C31"/>
    <mergeCell ref="A32:C32"/>
    <mergeCell ref="A33:C33"/>
    <mergeCell ref="A34:C34"/>
    <mergeCell ref="A19:C19"/>
    <mergeCell ref="A20:C20"/>
    <mergeCell ref="A4:C4"/>
    <mergeCell ref="A5:C5"/>
    <mergeCell ref="A7:C7"/>
    <mergeCell ref="A13:C13"/>
    <mergeCell ref="A14:C14"/>
    <mergeCell ref="A6:C6"/>
    <mergeCell ref="A102:F102"/>
    <mergeCell ref="B106:C106"/>
    <mergeCell ref="B108:C108"/>
    <mergeCell ref="A90:F90"/>
    <mergeCell ref="B94:C94"/>
    <mergeCell ref="B96:C96"/>
    <mergeCell ref="B98:C98"/>
    <mergeCell ref="B100:C100"/>
    <mergeCell ref="B80:C80"/>
    <mergeCell ref="B82:C82"/>
    <mergeCell ref="B84:C84"/>
    <mergeCell ref="B86:C86"/>
    <mergeCell ref="B88:C88"/>
    <mergeCell ref="B73:C73"/>
    <mergeCell ref="B74:C74"/>
    <mergeCell ref="B110:C110"/>
    <mergeCell ref="A112:F112"/>
    <mergeCell ref="B116:C116"/>
    <mergeCell ref="B75:C75"/>
    <mergeCell ref="B76:C76"/>
    <mergeCell ref="B78:C78"/>
    <mergeCell ref="C53:D53"/>
    <mergeCell ref="C54:D54"/>
    <mergeCell ref="A69:F69"/>
    <mergeCell ref="A58:C58"/>
    <mergeCell ref="A59:C59"/>
    <mergeCell ref="A60:C60"/>
    <mergeCell ref="E134:F134"/>
    <mergeCell ref="E132:F132"/>
    <mergeCell ref="A140:F140"/>
    <mergeCell ref="B124:C124"/>
    <mergeCell ref="B126:C126"/>
    <mergeCell ref="A128:F128"/>
    <mergeCell ref="A142:C142"/>
    <mergeCell ref="A150:F150"/>
    <mergeCell ref="A152:C152"/>
    <mergeCell ref="E138:F138"/>
    <mergeCell ref="E136:F136"/>
  </mergeCells>
  <hyperlinks>
    <hyperlink ref="AQ1" r:id="rId1" display="https://www.mintransporte.gov.co/descargar.php?idFile=4314"/>
  </hyperlinks>
  <pageMargins left="0.7" right="0.7" top="0.75" bottom="0.75" header="0.3" footer="0.3"/>
  <pageSetup paperSize="9" orientation="portrait" horizontalDpi="90" verticalDpi="9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1"/>
  </sheetPr>
  <dimension ref="A1:V162"/>
  <sheetViews>
    <sheetView showGridLines="0" zoomScale="110" zoomScaleNormal="110" workbookViewId="0">
      <selection activeCell="F159" sqref="F159"/>
    </sheetView>
  </sheetViews>
  <sheetFormatPr baseColWidth="10" defaultColWidth="11.42578125" defaultRowHeight="15" x14ac:dyDescent="0.25"/>
  <cols>
    <col min="1" max="4" width="11.42578125" style="28"/>
    <col min="5" max="5" width="10" style="28" customWidth="1"/>
    <col min="6" max="6" width="18.5703125" style="28" customWidth="1"/>
    <col min="7" max="7" width="18" style="28" customWidth="1"/>
    <col min="8" max="8" width="16.42578125" style="28" bestFit="1" customWidth="1"/>
    <col min="9" max="9" width="16.85546875" style="28" customWidth="1"/>
    <col min="10" max="10" width="16.42578125" style="28" bestFit="1" customWidth="1"/>
    <col min="11" max="11" width="16.140625" style="28" bestFit="1" customWidth="1"/>
    <col min="12" max="12" width="14" style="28" customWidth="1"/>
    <col min="13" max="13" width="21.85546875" style="28" customWidth="1"/>
    <col min="14" max="14" width="20" style="28" customWidth="1"/>
    <col min="15" max="16" width="12.42578125" style="28" bestFit="1" customWidth="1"/>
    <col min="17" max="17" width="8.5703125" style="28" bestFit="1" customWidth="1"/>
    <col min="18" max="18" width="14.7109375" style="28" customWidth="1"/>
    <col min="19" max="19" width="23.28515625" style="28" bestFit="1" customWidth="1"/>
    <col min="20" max="20" width="22.7109375" style="28" bestFit="1" customWidth="1"/>
    <col min="21" max="21" width="13.5703125" style="28" customWidth="1"/>
    <col min="22" max="22" width="14.140625" style="28" customWidth="1"/>
    <col min="23" max="24" width="11.5703125" style="28" bestFit="1" customWidth="1"/>
    <col min="25" max="29" width="11.42578125" style="28"/>
    <col min="30" max="30" width="24.85546875" style="28" customWidth="1"/>
    <col min="31" max="16384" width="11.42578125" style="28"/>
  </cols>
  <sheetData>
    <row r="1" spans="1:19" ht="14.25" customHeight="1" x14ac:dyDescent="0.25">
      <c r="A1" s="460" t="s">
        <v>64</v>
      </c>
      <c r="B1" s="461"/>
      <c r="C1" s="461"/>
      <c r="D1" s="461"/>
      <c r="E1" s="461"/>
      <c r="F1" s="461"/>
      <c r="G1" s="461"/>
      <c r="H1" s="461"/>
      <c r="I1" s="461"/>
      <c r="J1" s="462"/>
      <c r="K1" s="189"/>
      <c r="S1" s="28" t="s">
        <v>203</v>
      </c>
    </row>
    <row r="2" spans="1:19" ht="15" customHeight="1" thickBot="1" x14ac:dyDescent="0.3">
      <c r="A2" s="463"/>
      <c r="B2" s="464"/>
      <c r="C2" s="464"/>
      <c r="D2" s="464"/>
      <c r="E2" s="464"/>
      <c r="F2" s="464"/>
      <c r="G2" s="464"/>
      <c r="H2" s="464"/>
      <c r="I2" s="464"/>
      <c r="J2" s="465"/>
      <c r="K2" s="189"/>
      <c r="S2" s="28" t="s">
        <v>204</v>
      </c>
    </row>
    <row r="3" spans="1:19" ht="23.25" thickBot="1" x14ac:dyDescent="0.35">
      <c r="A3" s="478" t="s">
        <v>441</v>
      </c>
      <c r="B3" s="479"/>
      <c r="C3" s="479"/>
      <c r="D3" s="479"/>
      <c r="E3" s="479"/>
      <c r="F3" s="479"/>
      <c r="G3" s="479"/>
      <c r="H3" s="479"/>
      <c r="I3" s="479"/>
      <c r="J3" s="480"/>
      <c r="K3" s="190"/>
      <c r="L3" s="45"/>
      <c r="S3" s="28" t="s">
        <v>205</v>
      </c>
    </row>
    <row r="4" spans="1:19" ht="15.75" x14ac:dyDescent="0.25">
      <c r="A4" s="587" t="s">
        <v>65</v>
      </c>
      <c r="B4" s="588"/>
      <c r="C4" s="588"/>
      <c r="D4" s="588"/>
      <c r="E4" s="588"/>
      <c r="F4" s="588"/>
      <c r="G4" s="588"/>
      <c r="H4" s="588"/>
      <c r="I4" s="588"/>
      <c r="J4" s="589"/>
      <c r="K4" s="191"/>
      <c r="L4" s="45"/>
    </row>
    <row r="5" spans="1:19" ht="15.75" x14ac:dyDescent="0.25">
      <c r="A5" s="587" t="s">
        <v>66</v>
      </c>
      <c r="B5" s="588"/>
      <c r="C5" s="588"/>
      <c r="D5" s="588"/>
      <c r="E5" s="588"/>
      <c r="F5" s="588"/>
      <c r="G5" s="588"/>
      <c r="H5" s="588"/>
      <c r="I5" s="588"/>
      <c r="J5" s="589"/>
      <c r="K5" s="191"/>
      <c r="L5" s="45"/>
    </row>
    <row r="6" spans="1:19" ht="16.5" thickBot="1" x14ac:dyDescent="0.3">
      <c r="A6" s="590" t="s">
        <v>67</v>
      </c>
      <c r="B6" s="591"/>
      <c r="C6" s="591"/>
      <c r="D6" s="591"/>
      <c r="E6" s="591"/>
      <c r="F6" s="591"/>
      <c r="G6" s="591"/>
      <c r="H6" s="591"/>
      <c r="I6" s="591"/>
      <c r="J6" s="592"/>
      <c r="K6" s="191"/>
      <c r="L6" s="45"/>
    </row>
    <row r="7" spans="1:19" ht="21" customHeight="1" thickBot="1" x14ac:dyDescent="0.3">
      <c r="A7" s="192"/>
      <c r="B7" s="193"/>
      <c r="C7" s="193"/>
      <c r="D7" s="193"/>
      <c r="E7" s="193"/>
      <c r="F7" s="193"/>
      <c r="G7" s="193"/>
      <c r="H7" s="193"/>
      <c r="I7" s="193"/>
      <c r="J7" s="194"/>
    </row>
    <row r="8" spans="1:19" ht="14.25" customHeight="1" x14ac:dyDescent="0.25">
      <c r="A8" s="603" t="s">
        <v>64</v>
      </c>
      <c r="B8" s="604"/>
      <c r="C8" s="604"/>
      <c r="D8" s="604"/>
      <c r="E8" s="604"/>
      <c r="F8" s="604"/>
      <c r="G8" s="604"/>
      <c r="H8" s="604"/>
      <c r="I8" s="604"/>
      <c r="J8" s="605"/>
      <c r="K8" s="189"/>
    </row>
    <row r="9" spans="1:19" ht="15" customHeight="1" thickBot="1" x14ac:dyDescent="0.3">
      <c r="A9" s="606"/>
      <c r="B9" s="607"/>
      <c r="C9" s="607"/>
      <c r="D9" s="607"/>
      <c r="E9" s="607"/>
      <c r="F9" s="607"/>
      <c r="G9" s="607"/>
      <c r="H9" s="607"/>
      <c r="I9" s="607"/>
      <c r="J9" s="608"/>
      <c r="K9" s="189"/>
    </row>
    <row r="10" spans="1:19" ht="18.75" x14ac:dyDescent="0.3">
      <c r="A10" s="593" t="s">
        <v>202</v>
      </c>
      <c r="B10" s="594"/>
      <c r="C10" s="594"/>
      <c r="D10" s="594"/>
      <c r="E10" s="594"/>
      <c r="F10" s="594"/>
      <c r="G10" s="594"/>
      <c r="H10" s="594"/>
      <c r="I10" s="594"/>
      <c r="J10" s="595"/>
      <c r="K10" s="195"/>
    </row>
    <row r="11" spans="1:19" ht="15.75" thickBot="1" x14ac:dyDescent="0.3">
      <c r="A11" s="609" t="s">
        <v>83</v>
      </c>
      <c r="B11" s="598"/>
      <c r="C11" s="598"/>
      <c r="D11" s="598"/>
      <c r="E11" s="598"/>
      <c r="F11" s="598"/>
      <c r="G11" s="598"/>
      <c r="H11" s="598"/>
      <c r="I11" s="598"/>
      <c r="J11" s="599"/>
      <c r="K11" s="196"/>
    </row>
    <row r="12" spans="1:19" ht="15.75" thickBot="1" x14ac:dyDescent="0.3">
      <c r="A12" s="614" t="s">
        <v>84</v>
      </c>
      <c r="B12" s="615"/>
      <c r="C12" s="615"/>
      <c r="D12" s="615"/>
      <c r="E12" s="615"/>
      <c r="F12" s="197" t="str">
        <f>PROYECCIONES!G20</f>
        <v>Año 1</v>
      </c>
      <c r="G12" s="197" t="str">
        <f>PROYECCIONES!H20</f>
        <v xml:space="preserve">Año 2 </v>
      </c>
      <c r="H12" s="197" t="str">
        <f>PROYECCIONES!I20</f>
        <v>Año 3</v>
      </c>
      <c r="I12" s="197" t="str">
        <f>PROYECCIONES!J20</f>
        <v>Año 4</v>
      </c>
      <c r="J12" s="198" t="str">
        <f>PROYECCIONES!K20</f>
        <v>Año 5</v>
      </c>
    </row>
    <row r="13" spans="1:19" x14ac:dyDescent="0.25">
      <c r="A13" s="654" t="s">
        <v>85</v>
      </c>
      <c r="B13" s="625"/>
      <c r="C13" s="625"/>
      <c r="D13" s="625"/>
      <c r="E13" s="625"/>
      <c r="F13" s="625"/>
      <c r="G13" s="625"/>
      <c r="H13" s="625"/>
      <c r="I13" s="625"/>
      <c r="J13" s="199"/>
    </row>
    <row r="14" spans="1:19" ht="15.75" x14ac:dyDescent="0.25">
      <c r="A14" s="612" t="s">
        <v>86</v>
      </c>
      <c r="B14" s="613"/>
      <c r="C14" s="613"/>
      <c r="D14" s="613"/>
      <c r="E14" s="613"/>
      <c r="F14" s="200">
        <v>315000000</v>
      </c>
      <c r="G14" s="200">
        <f>F14*(1+PROYECCIONES!H$26)</f>
        <v>327083400</v>
      </c>
      <c r="H14" s="200">
        <f>G14*(1+PROYECCIONES!I$26)</f>
        <v>345988820.51999998</v>
      </c>
      <c r="I14" s="200">
        <f>H14*(1+PROYECCIONES!J$26)</f>
        <v>368843458.04826903</v>
      </c>
      <c r="J14" s="201">
        <f>I14*(1+PROYECCIONES!K$26)</f>
        <v>395493873.26608866</v>
      </c>
    </row>
    <row r="15" spans="1:19" ht="15.75" x14ac:dyDescent="0.25">
      <c r="A15" s="612" t="s">
        <v>87</v>
      </c>
      <c r="B15" s="613"/>
      <c r="C15" s="613"/>
      <c r="D15" s="613"/>
      <c r="E15" s="613"/>
      <c r="F15" s="200">
        <f>+F60*8%</f>
        <v>78174400.000000015</v>
      </c>
      <c r="G15" s="200">
        <f>F15*(1+PROYECCIONES!H$26)</f>
        <v>81173169.984000012</v>
      </c>
      <c r="H15" s="200">
        <f>G15*(1+PROYECCIONES!I$26)</f>
        <v>85864979.209075198</v>
      </c>
      <c r="I15" s="200">
        <f>H15*(1+PROYECCIONES!J$26)</f>
        <v>91536876.275709853</v>
      </c>
      <c r="J15" s="201">
        <f>I15*(1+PROYECCIONES!K$26)</f>
        <v>98150781.734135002</v>
      </c>
    </row>
    <row r="16" spans="1:19" ht="15.75" x14ac:dyDescent="0.25">
      <c r="A16" s="612" t="s">
        <v>88</v>
      </c>
      <c r="B16" s="613"/>
      <c r="C16" s="613"/>
      <c r="D16" s="613"/>
      <c r="E16" s="613"/>
      <c r="F16" s="200">
        <v>0</v>
      </c>
      <c r="G16" s="200">
        <f>F16*(1+PROYECCIONES!H$26)</f>
        <v>0</v>
      </c>
      <c r="H16" s="200">
        <f>G16*(1+PROYECCIONES!I$26)</f>
        <v>0</v>
      </c>
      <c r="I16" s="200">
        <f>H16*(1+PROYECCIONES!J$26)</f>
        <v>0</v>
      </c>
      <c r="J16" s="201">
        <f>I16*(1+PROYECCIONES!K$26)</f>
        <v>0</v>
      </c>
    </row>
    <row r="17" spans="1:10" ht="15.75" x14ac:dyDescent="0.25">
      <c r="A17" s="612" t="s">
        <v>89</v>
      </c>
      <c r="B17" s="613"/>
      <c r="C17" s="613"/>
      <c r="D17" s="613"/>
      <c r="E17" s="613"/>
      <c r="F17" s="200">
        <v>0</v>
      </c>
      <c r="G17" s="200">
        <f>F17*(1+PROYECCIONES!H$26)</f>
        <v>0</v>
      </c>
      <c r="H17" s="200">
        <f>G17*(1+PROYECCIONES!I$26)</f>
        <v>0</v>
      </c>
      <c r="I17" s="200">
        <f>H17*(1+PROYECCIONES!J$26)</f>
        <v>0</v>
      </c>
      <c r="J17" s="201">
        <f>I17*(1+PROYECCIONES!K$26)</f>
        <v>0</v>
      </c>
    </row>
    <row r="18" spans="1:10" ht="15.75" x14ac:dyDescent="0.25">
      <c r="A18" s="612" t="s">
        <v>90</v>
      </c>
      <c r="B18" s="613"/>
      <c r="C18" s="613"/>
      <c r="D18" s="613"/>
      <c r="E18" s="613"/>
      <c r="F18" s="200">
        <v>0</v>
      </c>
      <c r="G18" s="200">
        <f>F18*(1+PROYECCIONES!H$26)</f>
        <v>0</v>
      </c>
      <c r="H18" s="200">
        <f>G18*(1+PROYECCIONES!I$26)</f>
        <v>0</v>
      </c>
      <c r="I18" s="200">
        <f>H18*(1+PROYECCIONES!J$26)</f>
        <v>0</v>
      </c>
      <c r="J18" s="201">
        <f>I18*(1+PROYECCIONES!K$26)</f>
        <v>0</v>
      </c>
    </row>
    <row r="19" spans="1:10" ht="15.75" x14ac:dyDescent="0.25">
      <c r="A19" s="632" t="s">
        <v>91</v>
      </c>
      <c r="B19" s="633"/>
      <c r="C19" s="633"/>
      <c r="D19" s="633"/>
      <c r="E19" s="633"/>
      <c r="F19" s="202">
        <f t="shared" ref="F19:J19" si="0">SUM(F14:F18)</f>
        <v>393174400</v>
      </c>
      <c r="G19" s="202">
        <f t="shared" si="0"/>
        <v>408256569.98400003</v>
      </c>
      <c r="H19" s="202">
        <f t="shared" si="0"/>
        <v>431853799.72907519</v>
      </c>
      <c r="I19" s="202">
        <f t="shared" si="0"/>
        <v>460380334.3239789</v>
      </c>
      <c r="J19" s="203">
        <f t="shared" si="0"/>
        <v>493644655.00022364</v>
      </c>
    </row>
    <row r="20" spans="1:10" x14ac:dyDescent="0.25">
      <c r="A20" s="627" t="s">
        <v>92</v>
      </c>
      <c r="B20" s="628"/>
      <c r="C20" s="628"/>
      <c r="D20" s="628"/>
      <c r="E20" s="628"/>
      <c r="F20" s="204"/>
      <c r="G20" s="204"/>
      <c r="H20" s="204"/>
      <c r="I20" s="204"/>
      <c r="J20" s="205"/>
    </row>
    <row r="21" spans="1:10" ht="15.75" x14ac:dyDescent="0.25">
      <c r="A21" s="612" t="s">
        <v>93</v>
      </c>
      <c r="B21" s="613"/>
      <c r="C21" s="613"/>
      <c r="D21" s="613"/>
      <c r="E21" s="613"/>
      <c r="F21" s="200">
        <v>0</v>
      </c>
      <c r="G21" s="200">
        <f>F21*(1+PROYECCIONES!H$26)</f>
        <v>0</v>
      </c>
      <c r="H21" s="200">
        <f>G21*(1+PROYECCIONES!I$26)</f>
        <v>0</v>
      </c>
      <c r="I21" s="200">
        <f>H21*(1+PROYECCIONES!J$26)</f>
        <v>0</v>
      </c>
      <c r="J21" s="201">
        <f>I21*(1+PROYECCIONES!K$26)</f>
        <v>0</v>
      </c>
    </row>
    <row r="22" spans="1:10" ht="15.75" x14ac:dyDescent="0.25">
      <c r="A22" s="612" t="s">
        <v>94</v>
      </c>
      <c r="B22" s="613"/>
      <c r="C22" s="613"/>
      <c r="D22" s="613"/>
      <c r="E22" s="613"/>
      <c r="F22" s="200">
        <v>0</v>
      </c>
      <c r="G22" s="200">
        <f>F22*(1+PROYECCIONES!H$26)</f>
        <v>0</v>
      </c>
      <c r="H22" s="200">
        <f>G22*(1+PROYECCIONES!I$26)</f>
        <v>0</v>
      </c>
      <c r="I22" s="200">
        <f>H22*(1+PROYECCIONES!J$26)</f>
        <v>0</v>
      </c>
      <c r="J22" s="201">
        <f>I22*(1+PROYECCIONES!K$26)</f>
        <v>0</v>
      </c>
    </row>
    <row r="23" spans="1:10" ht="15.75" x14ac:dyDescent="0.25">
      <c r="A23" s="612" t="s">
        <v>95</v>
      </c>
      <c r="B23" s="613"/>
      <c r="C23" s="613"/>
      <c r="D23" s="613"/>
      <c r="E23" s="613"/>
      <c r="F23" s="200">
        <v>24119000</v>
      </c>
      <c r="G23" s="200">
        <f>F23*(1+PROYECCIONES!H$26)</f>
        <v>25044204.84</v>
      </c>
      <c r="H23" s="200">
        <f>G23*(1+PROYECCIONES!I$26)</f>
        <v>26491759.879751995</v>
      </c>
      <c r="I23" s="200">
        <f>H23*(1+PROYECCIONES!J$26)</f>
        <v>28241699.57036889</v>
      </c>
      <c r="J23" s="201">
        <f>I23*(1+PROYECCIONES!K$26)</f>
        <v>30282275.331126325</v>
      </c>
    </row>
    <row r="24" spans="1:10" ht="15.75" x14ac:dyDescent="0.25">
      <c r="A24" s="612" t="s">
        <v>96</v>
      </c>
      <c r="B24" s="613"/>
      <c r="C24" s="613"/>
      <c r="D24" s="613"/>
      <c r="E24" s="613"/>
      <c r="F24" s="200">
        <v>80000000</v>
      </c>
      <c r="G24" s="200">
        <f>F24*(1+PROYECCIONES!H$26)</f>
        <v>83068800</v>
      </c>
      <c r="H24" s="200">
        <f>G24*(1+PROYECCIONES!I$26)</f>
        <v>87870176.639999986</v>
      </c>
      <c r="I24" s="200">
        <f>H24*(1+PROYECCIONES!J$26)</f>
        <v>93674529.028131813</v>
      </c>
      <c r="J24" s="201">
        <f>I24*(1+PROYECCIONES!K$26)</f>
        <v>100442888.44853045</v>
      </c>
    </row>
    <row r="25" spans="1:10" ht="15.75" x14ac:dyDescent="0.25">
      <c r="A25" s="612" t="s">
        <v>97</v>
      </c>
      <c r="B25" s="613"/>
      <c r="C25" s="613"/>
      <c r="D25" s="613"/>
      <c r="E25" s="613"/>
      <c r="F25" s="200">
        <v>0</v>
      </c>
      <c r="G25" s="200">
        <f>F25*(1+PROYECCIONES!H$26)</f>
        <v>0</v>
      </c>
      <c r="H25" s="200">
        <f>G25*(1+PROYECCIONES!I$26)</f>
        <v>0</v>
      </c>
      <c r="I25" s="200">
        <f>H25*(1+PROYECCIONES!J$26)</f>
        <v>0</v>
      </c>
      <c r="J25" s="201">
        <f>I25*(1+PROYECCIONES!K$26)</f>
        <v>0</v>
      </c>
    </row>
    <row r="26" spans="1:10" ht="15.75" x14ac:dyDescent="0.25">
      <c r="A26" s="612" t="s">
        <v>98</v>
      </c>
      <c r="B26" s="613"/>
      <c r="C26" s="613"/>
      <c r="D26" s="613"/>
      <c r="E26" s="613"/>
      <c r="F26" s="202">
        <f>SUM(F21:F25)</f>
        <v>104119000</v>
      </c>
      <c r="G26" s="202">
        <f t="shared" ref="G26:J26" si="1">SUM(G21:G25)</f>
        <v>108113004.84</v>
      </c>
      <c r="H26" s="202">
        <f t="shared" si="1"/>
        <v>114361936.51975198</v>
      </c>
      <c r="I26" s="202">
        <f t="shared" si="1"/>
        <v>121916228.5985007</v>
      </c>
      <c r="J26" s="203">
        <f t="shared" si="1"/>
        <v>130725163.77965677</v>
      </c>
    </row>
    <row r="27" spans="1:10" x14ac:dyDescent="0.25">
      <c r="A27" s="206"/>
      <c r="B27" s="207"/>
      <c r="C27" s="207"/>
      <c r="D27" s="207"/>
      <c r="E27" s="207"/>
      <c r="F27" s="45"/>
      <c r="G27" s="45"/>
      <c r="H27" s="45"/>
      <c r="I27" s="45"/>
      <c r="J27" s="208"/>
    </row>
    <row r="28" spans="1:10" ht="15.75" x14ac:dyDescent="0.25">
      <c r="A28" s="619" t="s">
        <v>99</v>
      </c>
      <c r="B28" s="620"/>
      <c r="C28" s="620"/>
      <c r="D28" s="620"/>
      <c r="E28" s="620"/>
      <c r="F28" s="209">
        <f>F19+F26</f>
        <v>497293400</v>
      </c>
      <c r="G28" s="209">
        <f t="shared" ref="G28:J28" si="2">G19+G26</f>
        <v>516369574.824</v>
      </c>
      <c r="H28" s="209">
        <f t="shared" si="2"/>
        <v>546215736.24882722</v>
      </c>
      <c r="I28" s="209">
        <f t="shared" si="2"/>
        <v>582296562.92247963</v>
      </c>
      <c r="J28" s="210">
        <f t="shared" si="2"/>
        <v>624369818.7798804</v>
      </c>
    </row>
    <row r="29" spans="1:10" x14ac:dyDescent="0.25">
      <c r="A29" s="206"/>
      <c r="B29" s="45"/>
      <c r="C29" s="45"/>
      <c r="D29" s="45"/>
      <c r="E29" s="45"/>
      <c r="F29" s="45"/>
      <c r="G29" s="45"/>
      <c r="H29" s="45"/>
      <c r="I29" s="45"/>
      <c r="J29" s="208"/>
    </row>
    <row r="30" spans="1:10" x14ac:dyDescent="0.25">
      <c r="A30" s="621" t="s">
        <v>100</v>
      </c>
      <c r="B30" s="622"/>
      <c r="C30" s="622"/>
      <c r="D30" s="622"/>
      <c r="E30" s="622"/>
      <c r="F30" s="211"/>
      <c r="G30" s="211"/>
      <c r="H30" s="211"/>
      <c r="I30" s="211"/>
      <c r="J30" s="212"/>
    </row>
    <row r="31" spans="1:10" ht="15.75" x14ac:dyDescent="0.25">
      <c r="A31" s="612" t="s">
        <v>101</v>
      </c>
      <c r="B31" s="613"/>
      <c r="C31" s="613"/>
      <c r="D31" s="613"/>
      <c r="E31" s="613"/>
      <c r="F31" s="200">
        <f>+'CAPITAL E INVERSION'!F50</f>
        <v>25301232.401509695</v>
      </c>
      <c r="G31" s="200">
        <f>+'CAPITAL E INVERSION'!G50</f>
        <v>29349429.585751247</v>
      </c>
      <c r="H31" s="200">
        <f>+'CAPITAL E INVERSION'!H50</f>
        <v>34045338.319471449</v>
      </c>
      <c r="I31" s="200">
        <f>+'CAPITAL E INVERSION'!I50</f>
        <v>39492592.450586878</v>
      </c>
      <c r="J31" s="201">
        <f>+'CAPITAL E INVERSION'!J50</f>
        <v>0</v>
      </c>
    </row>
    <row r="32" spans="1:10" ht="15.75" x14ac:dyDescent="0.25">
      <c r="A32" s="612" t="s">
        <v>102</v>
      </c>
      <c r="B32" s="613"/>
      <c r="C32" s="613"/>
      <c r="D32" s="613"/>
      <c r="E32" s="613"/>
      <c r="F32" s="200">
        <v>0</v>
      </c>
      <c r="G32" s="200">
        <v>0</v>
      </c>
      <c r="H32" s="200">
        <v>0</v>
      </c>
      <c r="I32" s="200">
        <v>0</v>
      </c>
      <c r="J32" s="201">
        <v>0</v>
      </c>
    </row>
    <row r="33" spans="1:22" ht="15.75" x14ac:dyDescent="0.25">
      <c r="A33" s="612" t="s">
        <v>103</v>
      </c>
      <c r="B33" s="613"/>
      <c r="C33" s="613"/>
      <c r="D33" s="613"/>
      <c r="E33" s="613"/>
      <c r="F33" s="200">
        <v>0</v>
      </c>
      <c r="G33" s="200">
        <v>0</v>
      </c>
      <c r="H33" s="200">
        <v>0</v>
      </c>
      <c r="I33" s="200">
        <v>0</v>
      </c>
      <c r="J33" s="201">
        <v>0</v>
      </c>
    </row>
    <row r="34" spans="1:22" ht="15.75" x14ac:dyDescent="0.25">
      <c r="A34" s="612" t="s">
        <v>104</v>
      </c>
      <c r="B34" s="613"/>
      <c r="C34" s="613"/>
      <c r="D34" s="613"/>
      <c r="E34" s="613"/>
      <c r="F34" s="200">
        <v>0</v>
      </c>
      <c r="G34" s="200">
        <v>0</v>
      </c>
      <c r="H34" s="200">
        <v>0</v>
      </c>
      <c r="I34" s="200">
        <v>0</v>
      </c>
      <c r="J34" s="201">
        <v>0</v>
      </c>
    </row>
    <row r="35" spans="1:22" ht="15.75" x14ac:dyDescent="0.25">
      <c r="A35" s="629" t="s">
        <v>105</v>
      </c>
      <c r="B35" s="630"/>
      <c r="C35" s="630"/>
      <c r="D35" s="630"/>
      <c r="E35" s="631"/>
      <c r="F35" s="200">
        <v>0</v>
      </c>
      <c r="G35" s="200">
        <f>F35*(1+PROYECCIONES!H$26)</f>
        <v>0</v>
      </c>
      <c r="H35" s="200">
        <f>G35*(1+PROYECCIONES!I$26)</f>
        <v>0</v>
      </c>
      <c r="I35" s="200">
        <f>H35*(1+PROYECCIONES!J$26)</f>
        <v>0</v>
      </c>
      <c r="J35" s="201">
        <f>I35*(1+PROYECCIONES!K$26)</f>
        <v>0</v>
      </c>
    </row>
    <row r="36" spans="1:22" ht="15.75" x14ac:dyDescent="0.25">
      <c r="A36" s="612" t="s">
        <v>106</v>
      </c>
      <c r="B36" s="613"/>
      <c r="C36" s="613"/>
      <c r="D36" s="613"/>
      <c r="E36" s="613"/>
      <c r="F36" s="200">
        <v>0</v>
      </c>
      <c r="G36" s="200">
        <f>F36*(1+PROYECCIONES!H$26)</f>
        <v>0</v>
      </c>
      <c r="H36" s="200">
        <f>G36*(1+PROYECCIONES!I$26)</f>
        <v>0</v>
      </c>
      <c r="I36" s="200">
        <f>H36*(1+PROYECCIONES!J$26)</f>
        <v>0</v>
      </c>
      <c r="J36" s="201">
        <f>I36*(1+PROYECCIONES!K$26)</f>
        <v>0</v>
      </c>
      <c r="P36" s="213"/>
    </row>
    <row r="37" spans="1:22" ht="15.75" x14ac:dyDescent="0.25">
      <c r="A37" s="629" t="s">
        <v>107</v>
      </c>
      <c r="B37" s="630"/>
      <c r="C37" s="630"/>
      <c r="D37" s="630"/>
      <c r="E37" s="631"/>
      <c r="F37" s="202">
        <f t="shared" ref="F37:J37" si="3">SUM(F31:F36)</f>
        <v>25301232.401509695</v>
      </c>
      <c r="G37" s="202">
        <f t="shared" si="3"/>
        <v>29349429.585751247</v>
      </c>
      <c r="H37" s="202">
        <f t="shared" si="3"/>
        <v>34045338.319471449</v>
      </c>
      <c r="I37" s="202">
        <f t="shared" si="3"/>
        <v>39492592.450586878</v>
      </c>
      <c r="J37" s="203">
        <f t="shared" si="3"/>
        <v>0</v>
      </c>
    </row>
    <row r="38" spans="1:22" x14ac:dyDescent="0.25">
      <c r="A38" s="621" t="s">
        <v>108</v>
      </c>
      <c r="B38" s="622"/>
      <c r="C38" s="622"/>
      <c r="D38" s="622"/>
      <c r="E38" s="622"/>
      <c r="F38" s="211"/>
      <c r="G38" s="211"/>
      <c r="H38" s="211"/>
      <c r="I38" s="211"/>
      <c r="J38" s="212"/>
      <c r="M38" s="473"/>
      <c r="N38" s="473"/>
      <c r="O38" s="473"/>
      <c r="P38" s="473"/>
      <c r="Q38" s="473"/>
      <c r="R38" s="473"/>
      <c r="S38" s="473"/>
      <c r="T38" s="473"/>
      <c r="U38" s="473"/>
      <c r="V38" s="473"/>
    </row>
    <row r="39" spans="1:22" ht="15.75" x14ac:dyDescent="0.25">
      <c r="A39" s="612" t="s">
        <v>101</v>
      </c>
      <c r="B39" s="613"/>
      <c r="C39" s="613"/>
      <c r="D39" s="613"/>
      <c r="E39" s="613"/>
      <c r="F39" s="200">
        <f>+'CAPITAL E INVERSION'!E47</f>
        <v>128188592.75731923</v>
      </c>
      <c r="G39" s="200">
        <f>+'CAPITAL E INVERSION'!F47</f>
        <v>102887360.35580954</v>
      </c>
      <c r="H39" s="200">
        <f>+'CAPITAL E INVERSION'!G47</f>
        <v>73537930.770058289</v>
      </c>
      <c r="I39" s="200">
        <f>+'CAPITAL E INVERSION'!H47</f>
        <v>39492592.450586841</v>
      </c>
      <c r="J39" s="201">
        <f>+'CAPITAL E INVERSION'!I47</f>
        <v>0</v>
      </c>
      <c r="M39" s="213"/>
      <c r="N39" s="213"/>
      <c r="O39" s="213"/>
      <c r="P39" s="213"/>
      <c r="Q39" s="213"/>
      <c r="R39" s="213"/>
      <c r="S39" s="213"/>
      <c r="T39" s="213"/>
      <c r="U39" s="213"/>
      <c r="V39" s="213"/>
    </row>
    <row r="40" spans="1:22" ht="15.75" x14ac:dyDescent="0.25">
      <c r="A40" s="612" t="s">
        <v>109</v>
      </c>
      <c r="B40" s="613"/>
      <c r="C40" s="613"/>
      <c r="D40" s="613"/>
      <c r="E40" s="613"/>
      <c r="F40" s="200">
        <v>0</v>
      </c>
      <c r="G40" s="200">
        <f>F40*(1+PROYECCIONES!H$26)</f>
        <v>0</v>
      </c>
      <c r="H40" s="200">
        <f>G40*(1+PROYECCIONES!I$26)</f>
        <v>0</v>
      </c>
      <c r="I40" s="200">
        <f>H40*(1+PROYECCIONES!J$26)</f>
        <v>0</v>
      </c>
      <c r="J40" s="201">
        <f>I40*(1+PROYECCIONES!K$26)</f>
        <v>0</v>
      </c>
      <c r="L40" s="213"/>
      <c r="M40" s="102"/>
      <c r="N40" s="102"/>
      <c r="O40" s="102"/>
      <c r="P40" s="102"/>
      <c r="Q40" s="102"/>
      <c r="R40" s="102"/>
      <c r="S40" s="102"/>
      <c r="T40" s="102"/>
      <c r="U40" s="102"/>
      <c r="V40" s="102"/>
    </row>
    <row r="41" spans="1:22" ht="15.75" x14ac:dyDescent="0.25">
      <c r="A41" s="612" t="s">
        <v>110</v>
      </c>
      <c r="B41" s="613"/>
      <c r="C41" s="613"/>
      <c r="D41" s="613"/>
      <c r="E41" s="613"/>
      <c r="F41" s="200">
        <v>0</v>
      </c>
      <c r="G41" s="200">
        <f>F41*(1+PROYECCIONES!H$26)</f>
        <v>0</v>
      </c>
      <c r="H41" s="200">
        <f>G41*(1+PROYECCIONES!I$26)</f>
        <v>0</v>
      </c>
      <c r="I41" s="200">
        <f>H41*(1+PROYECCIONES!J$26)</f>
        <v>0</v>
      </c>
      <c r="J41" s="201">
        <f>I41*(1+PROYECCIONES!K$26)</f>
        <v>0</v>
      </c>
      <c r="L41" s="213"/>
      <c r="N41" s="214"/>
      <c r="O41" s="214"/>
      <c r="P41" s="214"/>
      <c r="Q41" s="214"/>
      <c r="R41" s="214"/>
      <c r="S41" s="214"/>
      <c r="T41" s="214"/>
      <c r="U41" s="214"/>
      <c r="V41" s="214"/>
    </row>
    <row r="42" spans="1:22" ht="15.75" x14ac:dyDescent="0.25">
      <c r="A42" s="612" t="s">
        <v>111</v>
      </c>
      <c r="B42" s="613"/>
      <c r="C42" s="613"/>
      <c r="D42" s="613"/>
      <c r="E42" s="613"/>
      <c r="F42" s="202">
        <f>SUM(F39:F41)</f>
        <v>128188592.75731923</v>
      </c>
      <c r="G42" s="202">
        <f>SUM(G39:G41)</f>
        <v>102887360.35580954</v>
      </c>
      <c r="H42" s="202">
        <f t="shared" ref="H42:I42" si="4">SUM(H39:H41)</f>
        <v>73537930.770058289</v>
      </c>
      <c r="I42" s="202">
        <f t="shared" si="4"/>
        <v>39492592.450586841</v>
      </c>
      <c r="J42" s="203">
        <f>SUM(J39:J41)</f>
        <v>0</v>
      </c>
      <c r="L42" s="213"/>
      <c r="N42" s="214"/>
      <c r="O42" s="214"/>
      <c r="P42" s="214"/>
      <c r="Q42" s="214"/>
      <c r="R42" s="214"/>
      <c r="S42" s="214"/>
      <c r="T42" s="214"/>
      <c r="U42" s="214"/>
      <c r="V42" s="214"/>
    </row>
    <row r="43" spans="1:22" x14ac:dyDescent="0.25">
      <c r="A43" s="206"/>
      <c r="B43" s="207"/>
      <c r="C43" s="207"/>
      <c r="D43" s="207"/>
      <c r="E43" s="207"/>
      <c r="F43" s="45"/>
      <c r="G43" s="45"/>
      <c r="H43" s="45"/>
      <c r="I43" s="45"/>
      <c r="J43" s="208"/>
      <c r="L43" s="213"/>
      <c r="M43" s="102"/>
      <c r="N43" s="102"/>
      <c r="O43" s="102"/>
      <c r="P43" s="102"/>
      <c r="Q43" s="102"/>
      <c r="R43" s="102"/>
      <c r="S43" s="102"/>
      <c r="T43" s="102"/>
      <c r="U43" s="102"/>
      <c r="V43" s="102"/>
    </row>
    <row r="44" spans="1:22" ht="15.75" x14ac:dyDescent="0.25">
      <c r="A44" s="619" t="s">
        <v>112</v>
      </c>
      <c r="B44" s="620"/>
      <c r="C44" s="620"/>
      <c r="D44" s="620"/>
      <c r="E44" s="620"/>
      <c r="F44" s="209">
        <f>F37+F42</f>
        <v>153489825.15882891</v>
      </c>
      <c r="G44" s="209">
        <f t="shared" ref="G44:J44" si="5">G37+G42</f>
        <v>132236789.94156079</v>
      </c>
      <c r="H44" s="209">
        <f t="shared" si="5"/>
        <v>107583269.08952974</v>
      </c>
      <c r="I44" s="209">
        <f t="shared" si="5"/>
        <v>78985184.901173711</v>
      </c>
      <c r="J44" s="210">
        <f t="shared" si="5"/>
        <v>0</v>
      </c>
      <c r="R44" s="215"/>
      <c r="S44" s="215"/>
      <c r="T44" s="215"/>
      <c r="U44" s="215"/>
      <c r="V44" s="215"/>
    </row>
    <row r="45" spans="1:22" x14ac:dyDescent="0.25">
      <c r="A45" s="206"/>
      <c r="B45" s="45"/>
      <c r="C45" s="45"/>
      <c r="D45" s="45"/>
      <c r="E45" s="45"/>
      <c r="F45" s="45"/>
      <c r="G45" s="45"/>
      <c r="H45" s="45"/>
      <c r="I45" s="45"/>
      <c r="J45" s="208"/>
      <c r="M45" s="214"/>
      <c r="N45" s="214"/>
      <c r="O45" s="214"/>
      <c r="P45" s="214"/>
      <c r="Q45" s="214"/>
      <c r="R45" s="216"/>
      <c r="S45" s="216"/>
      <c r="T45" s="216"/>
      <c r="U45" s="216"/>
      <c r="V45" s="216"/>
    </row>
    <row r="46" spans="1:22" x14ac:dyDescent="0.25">
      <c r="A46" s="621" t="s">
        <v>113</v>
      </c>
      <c r="B46" s="622"/>
      <c r="C46" s="622"/>
      <c r="D46" s="622"/>
      <c r="E46" s="622"/>
      <c r="F46" s="211"/>
      <c r="G46" s="211"/>
      <c r="H46" s="211"/>
      <c r="I46" s="211"/>
      <c r="J46" s="212"/>
    </row>
    <row r="47" spans="1:22" ht="15.75" x14ac:dyDescent="0.25">
      <c r="A47" s="612" t="s">
        <v>114</v>
      </c>
      <c r="B47" s="613"/>
      <c r="C47" s="613"/>
      <c r="D47" s="613"/>
      <c r="E47" s="613"/>
      <c r="F47" s="200">
        <f>119119000+35170314</f>
        <v>154289314</v>
      </c>
      <c r="G47" s="200">
        <f t="shared" ref="G47:J47" si="6">F47</f>
        <v>154289314</v>
      </c>
      <c r="H47" s="200">
        <f t="shared" si="6"/>
        <v>154289314</v>
      </c>
      <c r="I47" s="200">
        <f>H47</f>
        <v>154289314</v>
      </c>
      <c r="J47" s="201">
        <f t="shared" si="6"/>
        <v>154289314</v>
      </c>
    </row>
    <row r="48" spans="1:22" x14ac:dyDescent="0.25">
      <c r="A48" s="612" t="s">
        <v>115</v>
      </c>
      <c r="B48" s="613"/>
      <c r="C48" s="613"/>
      <c r="D48" s="613"/>
      <c r="E48" s="613"/>
      <c r="F48" s="41">
        <f t="shared" ref="F48:J48" si="7">F49*10%</f>
        <v>17228569.193333343</v>
      </c>
      <c r="G48" s="41">
        <f t="shared" si="7"/>
        <v>16468281.291010559</v>
      </c>
      <c r="H48" s="41">
        <f t="shared" si="7"/>
        <v>18769084.735245194</v>
      </c>
      <c r="I48" s="41">
        <f t="shared" si="7"/>
        <v>21819563.863371555</v>
      </c>
      <c r="J48" s="217">
        <f t="shared" si="7"/>
        <v>25428745.617761649</v>
      </c>
    </row>
    <row r="49" spans="1:13" ht="15.75" x14ac:dyDescent="0.25">
      <c r="A49" s="612" t="s">
        <v>116</v>
      </c>
      <c r="B49" s="613"/>
      <c r="C49" s="613"/>
      <c r="D49" s="613"/>
      <c r="E49" s="613"/>
      <c r="F49" s="200">
        <f>+F74</f>
        <v>172285691.93333343</v>
      </c>
      <c r="G49" s="200">
        <f>+G74-18298090</f>
        <v>164682812.91010559</v>
      </c>
      <c r="H49" s="200">
        <f>+H74-20854539</f>
        <v>187690847.35245192</v>
      </c>
      <c r="I49" s="200">
        <f>+I74-24243960</f>
        <v>218195638.63371554</v>
      </c>
      <c r="J49" s="201">
        <f>+J74-28254162</f>
        <v>254287456.17761648</v>
      </c>
    </row>
    <row r="50" spans="1:13" ht="15.75" x14ac:dyDescent="0.25">
      <c r="A50" s="612" t="s">
        <v>117</v>
      </c>
      <c r="B50" s="613"/>
      <c r="C50" s="613"/>
      <c r="D50" s="613"/>
      <c r="E50" s="613"/>
      <c r="F50" s="200"/>
      <c r="G50" s="200">
        <v>48692377</v>
      </c>
      <c r="H50" s="200">
        <v>77883221</v>
      </c>
      <c r="I50" s="200">
        <f>+H49-78683986</f>
        <v>109006861.35245192</v>
      </c>
      <c r="J50" s="200">
        <f>+I49-27831336</f>
        <v>190364302.63371554</v>
      </c>
    </row>
    <row r="51" spans="1:13" ht="15.75" x14ac:dyDescent="0.25">
      <c r="A51" s="612" t="s">
        <v>118</v>
      </c>
      <c r="B51" s="613"/>
      <c r="C51" s="613"/>
      <c r="D51" s="613"/>
      <c r="E51" s="613"/>
      <c r="F51" s="202">
        <f>SUM(F47:F50)</f>
        <v>343803575.12666678</v>
      </c>
      <c r="G51" s="202">
        <f>SUM(G47:G50)</f>
        <v>384132785.20111614</v>
      </c>
      <c r="H51" s="202">
        <f>SUM(H47:H50)</f>
        <v>438632467.08769715</v>
      </c>
      <c r="I51" s="202">
        <f>SUM(I47:I50)</f>
        <v>503311377.84953904</v>
      </c>
      <c r="J51" s="203">
        <f>SUM(J47:J50)</f>
        <v>624369818.4290936</v>
      </c>
    </row>
    <row r="52" spans="1:13" x14ac:dyDescent="0.25">
      <c r="A52" s="206"/>
      <c r="B52" s="207"/>
      <c r="C52" s="207"/>
      <c r="D52" s="207"/>
      <c r="E52" s="207"/>
      <c r="F52" s="45"/>
      <c r="G52" s="45"/>
      <c r="H52" s="45"/>
      <c r="I52" s="45"/>
      <c r="J52" s="208"/>
    </row>
    <row r="53" spans="1:13" ht="15.75" x14ac:dyDescent="0.25">
      <c r="A53" s="619" t="s">
        <v>119</v>
      </c>
      <c r="B53" s="620"/>
      <c r="C53" s="620"/>
      <c r="D53" s="620"/>
      <c r="E53" s="620"/>
      <c r="F53" s="209">
        <f t="shared" ref="F53:J53" si="8">F44+F51</f>
        <v>497293400.2854957</v>
      </c>
      <c r="G53" s="209">
        <f t="shared" si="8"/>
        <v>516369575.14267695</v>
      </c>
      <c r="H53" s="209">
        <f t="shared" si="8"/>
        <v>546215736.1772269</v>
      </c>
      <c r="I53" s="209">
        <f t="shared" si="8"/>
        <v>582296562.75071275</v>
      </c>
      <c r="J53" s="210">
        <f t="shared" si="8"/>
        <v>624369818.4290936</v>
      </c>
    </row>
    <row r="54" spans="1:13" x14ac:dyDescent="0.25">
      <c r="A54" s="218"/>
      <c r="B54" s="45"/>
      <c r="C54" s="45"/>
      <c r="D54" s="45"/>
      <c r="E54" s="45"/>
      <c r="F54" s="169"/>
      <c r="G54" s="169"/>
      <c r="H54" s="169"/>
      <c r="I54" s="169"/>
      <c r="J54" s="219"/>
    </row>
    <row r="55" spans="1:13" ht="15.75" x14ac:dyDescent="0.25">
      <c r="A55" s="616" t="s">
        <v>120</v>
      </c>
      <c r="B55" s="617"/>
      <c r="C55" s="617"/>
      <c r="D55" s="617"/>
      <c r="E55" s="618"/>
      <c r="F55" s="220">
        <f t="shared" ref="F55:J55" si="9">F28-F53</f>
        <v>-0.28549569845199585</v>
      </c>
      <c r="G55" s="220">
        <f t="shared" si="9"/>
        <v>-0.31867694854736328</v>
      </c>
      <c r="H55" s="220">
        <f t="shared" si="9"/>
        <v>7.160031795501709E-2</v>
      </c>
      <c r="I55" s="220">
        <f t="shared" si="9"/>
        <v>0.17176687717437744</v>
      </c>
      <c r="J55" s="221">
        <f t="shared" si="9"/>
        <v>0.35078680515289307</v>
      </c>
    </row>
    <row r="56" spans="1:13" x14ac:dyDescent="0.25">
      <c r="A56" s="218"/>
      <c r="B56" s="45"/>
      <c r="C56" s="45"/>
      <c r="D56" s="45"/>
      <c r="E56" s="45"/>
      <c r="F56" s="222"/>
      <c r="G56" s="45"/>
      <c r="H56" s="45"/>
      <c r="I56" s="45"/>
      <c r="J56" s="208"/>
    </row>
    <row r="57" spans="1:13" ht="15.75" thickBot="1" x14ac:dyDescent="0.3">
      <c r="A57" s="223"/>
      <c r="B57" s="224"/>
      <c r="C57" s="224"/>
      <c r="D57" s="224"/>
      <c r="E57" s="224"/>
      <c r="F57" s="225"/>
      <c r="G57" s="225"/>
      <c r="H57" s="225"/>
      <c r="I57" s="225"/>
      <c r="J57" s="226"/>
    </row>
    <row r="58" spans="1:13" ht="15.75" thickBot="1" x14ac:dyDescent="0.3">
      <c r="A58" s="614" t="s">
        <v>121</v>
      </c>
      <c r="B58" s="615"/>
      <c r="C58" s="615"/>
      <c r="D58" s="615"/>
      <c r="E58" s="615"/>
      <c r="F58" s="197" t="str">
        <f>F12</f>
        <v>Año 1</v>
      </c>
      <c r="G58" s="197" t="str">
        <f>G12</f>
        <v xml:space="preserve">Año 2 </v>
      </c>
      <c r="H58" s="197" t="str">
        <f>H12</f>
        <v>Año 3</v>
      </c>
      <c r="I58" s="197" t="str">
        <f>I12</f>
        <v>Año 4</v>
      </c>
      <c r="J58" s="198" t="str">
        <f>J12</f>
        <v>Año 5</v>
      </c>
    </row>
    <row r="59" spans="1:13" x14ac:dyDescent="0.25">
      <c r="A59" s="626" t="s">
        <v>122</v>
      </c>
      <c r="B59" s="626"/>
      <c r="C59" s="626"/>
      <c r="D59" s="626"/>
      <c r="E59" s="626"/>
      <c r="F59" s="610"/>
      <c r="G59" s="610"/>
      <c r="H59" s="610"/>
      <c r="I59" s="610"/>
      <c r="J59" s="610"/>
    </row>
    <row r="60" spans="1:13" ht="15.75" x14ac:dyDescent="0.25">
      <c r="A60" s="490" t="s">
        <v>123</v>
      </c>
      <c r="B60" s="490"/>
      <c r="C60" s="490"/>
      <c r="D60" s="490"/>
      <c r="E60" s="490"/>
      <c r="F60" s="227">
        <f>+INGRESOS!D31</f>
        <v>977180000.00000012</v>
      </c>
      <c r="G60" s="227">
        <f>+INGRESOS!E31</f>
        <v>1014664624.8000001</v>
      </c>
      <c r="H60" s="227">
        <f>+INGRESOS!F31</f>
        <v>1073312240.1134399</v>
      </c>
      <c r="I60" s="227">
        <f>+INGRESOS!G31</f>
        <v>1144210953.4463732</v>
      </c>
      <c r="J60" s="227">
        <f>+INGRESOS!H31</f>
        <v>1226884771.6766875</v>
      </c>
      <c r="K60" s="31"/>
      <c r="L60" s="228"/>
      <c r="M60" s="228"/>
    </row>
    <row r="61" spans="1:13" ht="15.75" x14ac:dyDescent="0.25">
      <c r="A61" s="490" t="s">
        <v>124</v>
      </c>
      <c r="B61" s="490"/>
      <c r="C61" s="490"/>
      <c r="D61" s="490"/>
      <c r="E61" s="490"/>
      <c r="F61" s="229">
        <f>+'DETALLE COSTOS'!C16</f>
        <v>171444464</v>
      </c>
      <c r="G61" s="229">
        <f>+F61*(1+PROYECCIONES!H22)</f>
        <v>177787909.16799998</v>
      </c>
      <c r="H61" s="229">
        <f>+G61*(1+PROYECCIONES!I22)</f>
        <v>183832698.07971197</v>
      </c>
      <c r="I61" s="229">
        <f>+H61*(1+PROYECCIONES!J22)</f>
        <v>189899177.11634246</v>
      </c>
      <c r="J61" s="229">
        <f>+I61*(1+PROYECCIONES!K22)</f>
        <v>196735547.49253079</v>
      </c>
    </row>
    <row r="62" spans="1:13" ht="15.75" x14ac:dyDescent="0.25">
      <c r="A62" s="611" t="s">
        <v>125</v>
      </c>
      <c r="B62" s="611"/>
      <c r="C62" s="611"/>
      <c r="D62" s="611"/>
      <c r="E62" s="611"/>
      <c r="F62" s="230">
        <f t="shared" ref="F62:J62" si="10">F60-F61</f>
        <v>805735536.00000012</v>
      </c>
      <c r="G62" s="230">
        <f t="shared" si="10"/>
        <v>836876715.63200009</v>
      </c>
      <c r="H62" s="230">
        <f t="shared" si="10"/>
        <v>889479542.03372788</v>
      </c>
      <c r="I62" s="230">
        <f t="shared" si="10"/>
        <v>954311776.3300308</v>
      </c>
      <c r="J62" s="230">
        <f t="shared" si="10"/>
        <v>1030149224.1841567</v>
      </c>
    </row>
    <row r="63" spans="1:13" ht="15.75" x14ac:dyDescent="0.25">
      <c r="A63" s="490" t="s">
        <v>126</v>
      </c>
      <c r="B63" s="490"/>
      <c r="C63" s="490"/>
      <c r="D63" s="490"/>
      <c r="E63" s="490"/>
      <c r="F63" s="229">
        <f>+'DETALLE COSTOS'!C17</f>
        <v>316301952</v>
      </c>
      <c r="G63" s="229">
        <f>F63*(1+PROYECCIONES!H22)</f>
        <v>328005124.22399998</v>
      </c>
      <c r="H63" s="229">
        <f>G63*(1+PROYECCIONES!I22)</f>
        <v>339157298.44761598</v>
      </c>
      <c r="I63" s="229">
        <f>H63*(1+PROYECCIONES!J22)</f>
        <v>350349489.29638726</v>
      </c>
      <c r="J63" s="229">
        <f>I63*(1+PROYECCIONES!K22)</f>
        <v>362962070.91105723</v>
      </c>
    </row>
    <row r="64" spans="1:13" ht="15.75" x14ac:dyDescent="0.25">
      <c r="A64" s="490" t="s">
        <v>127</v>
      </c>
      <c r="B64" s="490"/>
      <c r="C64" s="490"/>
      <c r="D64" s="490"/>
      <c r="E64" s="490"/>
      <c r="F64" s="229">
        <f>+'DETALLE COSTOS'!C18</f>
        <v>174963833.33333331</v>
      </c>
      <c r="G64" s="229">
        <f>F64*(1+PROYECCIONES!H22)</f>
        <v>181437495.16666663</v>
      </c>
      <c r="H64" s="229">
        <f>G64*(1+PROYECCIONES!I22)</f>
        <v>187606370.00233328</v>
      </c>
      <c r="I64" s="229">
        <f>H64*(1+PROYECCIONES!J22)</f>
        <v>193797380.21241027</v>
      </c>
      <c r="J64" s="229">
        <f>I64*(1+PROYECCIONES!K22)</f>
        <v>200774085.90005705</v>
      </c>
    </row>
    <row r="65" spans="1:11" ht="15.75" x14ac:dyDescent="0.25">
      <c r="A65" s="491" t="s">
        <v>218</v>
      </c>
      <c r="B65" s="640"/>
      <c r="C65" s="640"/>
      <c r="D65" s="640"/>
      <c r="E65" s="641"/>
      <c r="F65" s="229">
        <f>+F79+F80</f>
        <v>25414840</v>
      </c>
      <c r="G65" s="229">
        <f t="shared" ref="G65:J65" si="11">+G79+G80</f>
        <v>25414840</v>
      </c>
      <c r="H65" s="229">
        <f t="shared" si="11"/>
        <v>25414840</v>
      </c>
      <c r="I65" s="229">
        <f t="shared" si="11"/>
        <v>25414840</v>
      </c>
      <c r="J65" s="229">
        <f t="shared" si="11"/>
        <v>25414840</v>
      </c>
    </row>
    <row r="66" spans="1:11" ht="15.75" x14ac:dyDescent="0.25">
      <c r="A66" s="611" t="s">
        <v>128</v>
      </c>
      <c r="B66" s="611"/>
      <c r="C66" s="611"/>
      <c r="D66" s="611"/>
      <c r="E66" s="611"/>
      <c r="F66" s="230">
        <f>F62-F63-F64-F65</f>
        <v>289054910.66666681</v>
      </c>
      <c r="G66" s="230">
        <f>G62-G63-G64-G65</f>
        <v>302019256.24133348</v>
      </c>
      <c r="H66" s="230">
        <f>H62-H63-H64-H65</f>
        <v>337301033.58377862</v>
      </c>
      <c r="I66" s="230">
        <f>I62-I63-I64-I65</f>
        <v>384750066.82123321</v>
      </c>
      <c r="J66" s="230">
        <f>J62-J63-J64-J65</f>
        <v>440998227.37304235</v>
      </c>
    </row>
    <row r="67" spans="1:11" x14ac:dyDescent="0.25">
      <c r="A67" s="476" t="s">
        <v>129</v>
      </c>
      <c r="B67" s="476"/>
      <c r="C67" s="476"/>
      <c r="D67" s="476"/>
      <c r="E67" s="476"/>
      <c r="F67" s="88"/>
      <c r="G67" s="88"/>
      <c r="H67" s="88"/>
      <c r="I67" s="88"/>
      <c r="J67" s="88"/>
    </row>
    <row r="68" spans="1:11" ht="15.75" x14ac:dyDescent="0.25">
      <c r="A68" s="490" t="s">
        <v>130</v>
      </c>
      <c r="B68" s="490"/>
      <c r="C68" s="490"/>
      <c r="D68" s="490"/>
      <c r="E68" s="490"/>
      <c r="F68" s="227"/>
      <c r="G68" s="227"/>
      <c r="H68" s="227"/>
      <c r="I68" s="227"/>
      <c r="J68" s="227"/>
    </row>
    <row r="69" spans="1:11" ht="15.75" x14ac:dyDescent="0.25">
      <c r="A69" s="490" t="s">
        <v>131</v>
      </c>
      <c r="B69" s="490"/>
      <c r="C69" s="490"/>
      <c r="D69" s="490"/>
      <c r="E69" s="490"/>
      <c r="F69" s="229"/>
      <c r="G69" s="229"/>
      <c r="H69" s="229"/>
      <c r="I69" s="229"/>
      <c r="J69" s="229"/>
    </row>
    <row r="70" spans="1:11" ht="15.75" x14ac:dyDescent="0.25">
      <c r="A70" s="490" t="s">
        <v>132</v>
      </c>
      <c r="B70" s="490"/>
      <c r="C70" s="490"/>
      <c r="D70" s="490"/>
      <c r="E70" s="490"/>
      <c r="F70" s="229">
        <f>+'CAPITAL E INVERSION'!E48</f>
        <v>24000000</v>
      </c>
      <c r="G70" s="229">
        <f>+'CAPITAL E INVERSION'!F48</f>
        <v>20510174.841171078</v>
      </c>
      <c r="H70" s="229">
        <f>+'CAPITAL E INVERSION'!G48</f>
        <v>16461977.656929526</v>
      </c>
      <c r="I70" s="229">
        <f>+'CAPITAL E INVERSION'!H48</f>
        <v>11766068.923209326</v>
      </c>
      <c r="J70" s="229">
        <f>+'CAPITAL E INVERSION'!I48</f>
        <v>6318814.7920938944</v>
      </c>
    </row>
    <row r="71" spans="1:11" x14ac:dyDescent="0.25">
      <c r="A71" s="476" t="s">
        <v>133</v>
      </c>
      <c r="B71" s="476"/>
      <c r="C71" s="476"/>
      <c r="D71" s="476"/>
      <c r="E71" s="476"/>
      <c r="F71" s="88"/>
      <c r="G71" s="88"/>
      <c r="H71" s="88"/>
      <c r="I71" s="88"/>
      <c r="J71" s="88"/>
    </row>
    <row r="72" spans="1:11" ht="15.75" x14ac:dyDescent="0.25">
      <c r="A72" s="611" t="s">
        <v>134</v>
      </c>
      <c r="B72" s="611"/>
      <c r="C72" s="611"/>
      <c r="D72" s="611"/>
      <c r="E72" s="611"/>
      <c r="F72" s="230">
        <f t="shared" ref="F72:J72" si="12">F66+F68-F69-F70</f>
        <v>265054910.66666681</v>
      </c>
      <c r="G72" s="230">
        <f t="shared" si="12"/>
        <v>281509081.4001624</v>
      </c>
      <c r="H72" s="230">
        <f t="shared" si="12"/>
        <v>320839055.92684907</v>
      </c>
      <c r="I72" s="230">
        <f t="shared" si="12"/>
        <v>372983997.8980239</v>
      </c>
      <c r="J72" s="230">
        <f t="shared" si="12"/>
        <v>434679412.58094847</v>
      </c>
    </row>
    <row r="73" spans="1:11" ht="15.75" x14ac:dyDescent="0.25">
      <c r="A73" s="490" t="s">
        <v>135</v>
      </c>
      <c r="B73" s="490"/>
      <c r="C73" s="490"/>
      <c r="D73" s="490"/>
      <c r="E73" s="490"/>
      <c r="F73" s="231">
        <f>IF(F72&gt;0,F72*PROYECCIONES!$G$25,0)</f>
        <v>92769218.733333379</v>
      </c>
      <c r="G73" s="231">
        <f>IF(G72&gt;0,G72*PROYECCIONES!$G$25,0)</f>
        <v>98528178.490056828</v>
      </c>
      <c r="H73" s="231">
        <f>IF(H72&gt;0,H72*PROYECCIONES!$G$25,0)</f>
        <v>112293669.57439716</v>
      </c>
      <c r="I73" s="231">
        <f>IF(I72&gt;0,I72*PROYECCIONES!$G$25,0)</f>
        <v>130544399.26430836</v>
      </c>
      <c r="J73" s="231">
        <f>IF(J72&gt;0,J72*PROYECCIONES!$G$25,0)</f>
        <v>152137794.40333197</v>
      </c>
    </row>
    <row r="74" spans="1:11" ht="15.75" x14ac:dyDescent="0.25">
      <c r="A74" s="611" t="s">
        <v>136</v>
      </c>
      <c r="B74" s="611"/>
      <c r="C74" s="611"/>
      <c r="D74" s="611"/>
      <c r="E74" s="611"/>
      <c r="F74" s="230">
        <f t="shared" ref="F74:J74" si="13">F72-F73</f>
        <v>172285691.93333343</v>
      </c>
      <c r="G74" s="230">
        <f t="shared" si="13"/>
        <v>182980902.91010559</v>
      </c>
      <c r="H74" s="230">
        <f t="shared" si="13"/>
        <v>208545386.35245192</v>
      </c>
      <c r="I74" s="230">
        <f t="shared" si="13"/>
        <v>242439598.63371554</v>
      </c>
      <c r="J74" s="230">
        <f t="shared" si="13"/>
        <v>282541618.17761648</v>
      </c>
    </row>
    <row r="75" spans="1:11" x14ac:dyDescent="0.25">
      <c r="D75" s="28" t="s">
        <v>463</v>
      </c>
      <c r="E75" s="28">
        <v>3777</v>
      </c>
      <c r="F75" s="232">
        <f>+F74/E75</f>
        <v>45614.427305621772</v>
      </c>
      <c r="G75" s="232">
        <f t="shared" ref="G75:J75" si="14">+G74/F75</f>
        <v>4011.4699168338352</v>
      </c>
      <c r="H75" s="232">
        <f t="shared" si="14"/>
        <v>51987.274160353722</v>
      </c>
      <c r="I75" s="232">
        <f t="shared" si="14"/>
        <v>4663.4412469081453</v>
      </c>
      <c r="J75" s="232">
        <f t="shared" si="14"/>
        <v>60586.507520587111</v>
      </c>
      <c r="K75" s="213" t="s">
        <v>464</v>
      </c>
    </row>
    <row r="77" spans="1:11" ht="15.75" thickBot="1" x14ac:dyDescent="0.3"/>
    <row r="78" spans="1:11" ht="15.75" thickBot="1" x14ac:dyDescent="0.3">
      <c r="A78" s="614" t="s">
        <v>137</v>
      </c>
      <c r="B78" s="615"/>
      <c r="C78" s="615"/>
      <c r="D78" s="615"/>
      <c r="E78" s="615"/>
      <c r="F78" s="197" t="str">
        <f>F58</f>
        <v>Año 1</v>
      </c>
      <c r="G78" s="197" t="str">
        <f>G58</f>
        <v xml:space="preserve">Año 2 </v>
      </c>
      <c r="H78" s="197" t="str">
        <f>H58</f>
        <v>Año 3</v>
      </c>
      <c r="I78" s="197" t="str">
        <f>I58</f>
        <v>Año 4</v>
      </c>
      <c r="J78" s="198" t="str">
        <f>J58</f>
        <v>Año 5</v>
      </c>
    </row>
    <row r="79" spans="1:11" ht="15.75" x14ac:dyDescent="0.25">
      <c r="A79" s="642" t="s">
        <v>138</v>
      </c>
      <c r="B79" s="643"/>
      <c r="C79" s="643"/>
      <c r="D79" s="643"/>
      <c r="E79" s="644"/>
      <c r="F79" s="48">
        <f>+'CAPITAL E INVERSION'!E31+'CAPITAL E INVERSION'!E32</f>
        <v>10414840</v>
      </c>
      <c r="G79" s="48">
        <f>+'CAPITAL E INVERSION'!F31+'CAPITAL E INVERSION'!F32</f>
        <v>10414840</v>
      </c>
      <c r="H79" s="48">
        <f>+'CAPITAL E INVERSION'!G31+'CAPITAL E INVERSION'!G32</f>
        <v>10414840</v>
      </c>
      <c r="I79" s="48">
        <f>+'CAPITAL E INVERSION'!H31+'CAPITAL E INVERSION'!H32</f>
        <v>10414840</v>
      </c>
      <c r="J79" s="48">
        <f>+'CAPITAL E INVERSION'!I31+'CAPITAL E INVERSION'!I32</f>
        <v>10414840</v>
      </c>
    </row>
    <row r="80" spans="1:11" ht="15.75" x14ac:dyDescent="0.25">
      <c r="A80" s="645" t="s">
        <v>139</v>
      </c>
      <c r="B80" s="646"/>
      <c r="C80" s="646"/>
      <c r="D80" s="646"/>
      <c r="E80" s="647"/>
      <c r="F80" s="48">
        <f>+'CAPITAL E INVERSION'!E33</f>
        <v>15000000</v>
      </c>
      <c r="G80" s="48">
        <f>+'CAPITAL E INVERSION'!F33</f>
        <v>15000000</v>
      </c>
      <c r="H80" s="48">
        <f>+'CAPITAL E INVERSION'!G33</f>
        <v>15000000</v>
      </c>
      <c r="I80" s="48">
        <f>+'CAPITAL E INVERSION'!H33</f>
        <v>15000000</v>
      </c>
      <c r="J80" s="48">
        <f>+'CAPITAL E INVERSION'!I33</f>
        <v>15000000</v>
      </c>
    </row>
    <row r="81" spans="1:11" x14ac:dyDescent="0.25">
      <c r="F81" s="213"/>
      <c r="G81" s="213"/>
      <c r="H81" s="213"/>
      <c r="I81" s="213"/>
      <c r="J81" s="213"/>
    </row>
    <row r="83" spans="1:11" ht="15.75" thickBot="1" x14ac:dyDescent="0.3"/>
    <row r="84" spans="1:11" ht="14.25" customHeight="1" x14ac:dyDescent="0.25">
      <c r="A84" s="603" t="s">
        <v>140</v>
      </c>
      <c r="B84" s="604"/>
      <c r="C84" s="604"/>
      <c r="D84" s="604"/>
      <c r="E84" s="604"/>
      <c r="F84" s="604"/>
      <c r="G84" s="604"/>
      <c r="H84" s="604"/>
      <c r="I84" s="604"/>
      <c r="J84" s="605"/>
      <c r="K84" s="189"/>
    </row>
    <row r="85" spans="1:11" ht="15" customHeight="1" thickBot="1" x14ac:dyDescent="0.3">
      <c r="A85" s="606"/>
      <c r="B85" s="607"/>
      <c r="C85" s="607"/>
      <c r="D85" s="607"/>
      <c r="E85" s="607"/>
      <c r="F85" s="607"/>
      <c r="G85" s="607"/>
      <c r="H85" s="607"/>
      <c r="I85" s="607"/>
      <c r="J85" s="608"/>
      <c r="K85" s="189"/>
    </row>
    <row r="86" spans="1:11" ht="19.5" thickBot="1" x14ac:dyDescent="0.35">
      <c r="A86" s="648" t="str">
        <f>+A3</f>
        <v>DM CARGO S.A.S</v>
      </c>
      <c r="B86" s="649"/>
      <c r="C86" s="649"/>
      <c r="D86" s="649"/>
      <c r="E86" s="649"/>
      <c r="F86" s="649"/>
      <c r="G86" s="649"/>
      <c r="H86" s="649"/>
      <c r="I86" s="649"/>
      <c r="J86" s="650"/>
      <c r="K86" s="233"/>
    </row>
    <row r="87" spans="1:11" ht="15.75" thickBot="1" x14ac:dyDescent="0.3">
      <c r="A87" s="651" t="s">
        <v>141</v>
      </c>
      <c r="B87" s="652"/>
      <c r="C87" s="652"/>
      <c r="D87" s="652"/>
      <c r="E87" s="652"/>
      <c r="F87" s="652"/>
      <c r="G87" s="652"/>
      <c r="H87" s="652"/>
      <c r="I87" s="652"/>
      <c r="J87" s="653"/>
      <c r="K87" s="234"/>
    </row>
    <row r="89" spans="1:11" ht="15.75" x14ac:dyDescent="0.25">
      <c r="A89" s="235"/>
    </row>
    <row r="90" spans="1:11" x14ac:dyDescent="0.25">
      <c r="A90" s="236" t="s">
        <v>142</v>
      </c>
      <c r="F90" s="237" t="str">
        <f t="shared" ref="F90:J90" si="15">F78</f>
        <v>Año 1</v>
      </c>
      <c r="G90" s="237" t="str">
        <f t="shared" si="15"/>
        <v xml:space="preserve">Año 2 </v>
      </c>
      <c r="H90" s="237" t="str">
        <f t="shared" si="15"/>
        <v>Año 3</v>
      </c>
      <c r="I90" s="237" t="str">
        <f t="shared" si="15"/>
        <v>Año 4</v>
      </c>
      <c r="J90" s="237" t="str">
        <f t="shared" si="15"/>
        <v>Año 5</v>
      </c>
    </row>
    <row r="91" spans="1:11" x14ac:dyDescent="0.25">
      <c r="A91" s="213" t="s">
        <v>143</v>
      </c>
      <c r="F91" s="238">
        <f>+F74/F28</f>
        <v>0.34644676951942943</v>
      </c>
      <c r="G91" s="238">
        <f t="shared" ref="G91:J91" si="16">+G74/G28</f>
        <v>0.3543603493146803</v>
      </c>
      <c r="H91" s="238">
        <f t="shared" si="16"/>
        <v>0.38180039957224809</v>
      </c>
      <c r="I91" s="238">
        <f t="shared" si="16"/>
        <v>0.41635072928636058</v>
      </c>
      <c r="J91" s="238">
        <f t="shared" si="16"/>
        <v>0.4525228633404294</v>
      </c>
    </row>
    <row r="92" spans="1:11" x14ac:dyDescent="0.25">
      <c r="A92" s="28" t="s">
        <v>144</v>
      </c>
      <c r="F92" s="115">
        <f t="shared" ref="F92:J92" si="17">F66*(1-(F73/F72))</f>
        <v>187885691.93333343</v>
      </c>
      <c r="G92" s="115">
        <f t="shared" si="17"/>
        <v>196312516.55686677</v>
      </c>
      <c r="H92" s="115">
        <f t="shared" si="17"/>
        <v>219245671.82945612</v>
      </c>
      <c r="I92" s="115">
        <f t="shared" si="17"/>
        <v>250087543.43380159</v>
      </c>
      <c r="J92" s="115">
        <f t="shared" si="17"/>
        <v>286648847.79247755</v>
      </c>
    </row>
    <row r="93" spans="1:11" x14ac:dyDescent="0.25">
      <c r="A93" s="28" t="s">
        <v>145</v>
      </c>
      <c r="F93" s="115">
        <f>F19+F23-F32-F35</f>
        <v>417293400</v>
      </c>
      <c r="G93" s="115">
        <f>G19+G23-G32-G35</f>
        <v>433300774.824</v>
      </c>
      <c r="H93" s="115">
        <f>H19+H23-H32-H35</f>
        <v>458345559.60882717</v>
      </c>
      <c r="I93" s="115">
        <f>I19+I23-I32-I35</f>
        <v>488622033.89434779</v>
      </c>
      <c r="J93" s="115">
        <f>J19+J23-J32-J35</f>
        <v>523926930.33134997</v>
      </c>
    </row>
    <row r="94" spans="1:11" x14ac:dyDescent="0.25">
      <c r="A94" s="213" t="s">
        <v>146</v>
      </c>
      <c r="F94" s="71">
        <f>F92/F93</f>
        <v>0.45024841498411772</v>
      </c>
      <c r="G94" s="71">
        <f t="shared" ref="G94:J94" si="18">G92/G93</f>
        <v>0.45306292525464753</v>
      </c>
      <c r="H94" s="71">
        <f t="shared" si="18"/>
        <v>0.47834143308068761</v>
      </c>
      <c r="I94" s="71">
        <f t="shared" si="18"/>
        <v>0.51182207531778379</v>
      </c>
      <c r="J94" s="71">
        <f t="shared" si="18"/>
        <v>0.5471160789753462</v>
      </c>
    </row>
    <row r="95" spans="1:11" x14ac:dyDescent="0.25">
      <c r="A95" s="28" t="s">
        <v>147</v>
      </c>
      <c r="F95" s="155">
        <f>F94-F91</f>
        <v>0.10380164546468829</v>
      </c>
      <c r="G95" s="155">
        <f t="shared" ref="G95:J95" si="19">G94-G91</f>
        <v>9.870257593996723E-2</v>
      </c>
      <c r="H95" s="155">
        <f t="shared" si="19"/>
        <v>9.6541033508439511E-2</v>
      </c>
      <c r="I95" s="155">
        <f t="shared" si="19"/>
        <v>9.547134603142321E-2</v>
      </c>
      <c r="J95" s="155">
        <f t="shared" si="19"/>
        <v>9.4593215634916794E-2</v>
      </c>
    </row>
    <row r="97" spans="1:11" x14ac:dyDescent="0.25">
      <c r="A97" s="236" t="s">
        <v>148</v>
      </c>
      <c r="F97" s="239" t="str">
        <f t="shared" ref="F97:J97" si="20">F90</f>
        <v>Año 1</v>
      </c>
      <c r="G97" s="239" t="str">
        <f t="shared" si="20"/>
        <v xml:space="preserve">Año 2 </v>
      </c>
      <c r="H97" s="239" t="str">
        <f t="shared" si="20"/>
        <v>Año 3</v>
      </c>
      <c r="I97" s="239" t="str">
        <f t="shared" si="20"/>
        <v>Año 4</v>
      </c>
      <c r="J97" s="239" t="str">
        <f t="shared" si="20"/>
        <v>Año 5</v>
      </c>
    </row>
    <row r="98" spans="1:11" x14ac:dyDescent="0.25">
      <c r="A98" s="28" t="s">
        <v>149</v>
      </c>
      <c r="F98" s="240">
        <f t="shared" ref="F98:J98" si="21">F74+F73+F70+F79+F80</f>
        <v>314469750.66666681</v>
      </c>
      <c r="G98" s="240">
        <f t="shared" si="21"/>
        <v>327434096.24133348</v>
      </c>
      <c r="H98" s="240">
        <f t="shared" si="21"/>
        <v>362715873.58377862</v>
      </c>
      <c r="I98" s="240">
        <f t="shared" si="21"/>
        <v>410164906.82123321</v>
      </c>
      <c r="J98" s="240">
        <f t="shared" si="21"/>
        <v>466413067.37304235</v>
      </c>
    </row>
    <row r="99" spans="1:11" x14ac:dyDescent="0.25">
      <c r="A99" s="213" t="s">
        <v>150</v>
      </c>
      <c r="F99" s="240">
        <f>F66+F79+F80</f>
        <v>314469750.66666681</v>
      </c>
      <c r="G99" s="240">
        <f t="shared" ref="G99:J99" si="22">G66+G79+G80</f>
        <v>327434096.24133348</v>
      </c>
      <c r="H99" s="240">
        <f t="shared" si="22"/>
        <v>362715873.58377862</v>
      </c>
      <c r="I99" s="240">
        <f t="shared" si="22"/>
        <v>410164906.82123321</v>
      </c>
      <c r="J99" s="240">
        <f t="shared" si="22"/>
        <v>466413067.37304235</v>
      </c>
    </row>
    <row r="100" spans="1:11" x14ac:dyDescent="0.25">
      <c r="A100" s="28" t="s">
        <v>151</v>
      </c>
      <c r="F100" s="241">
        <f>F98/F60</f>
        <v>0.32181353554786912</v>
      </c>
      <c r="G100" s="241">
        <f>G98/G60</f>
        <v>0.32270179548821248</v>
      </c>
      <c r="H100" s="241">
        <f>H98/H60</f>
        <v>0.33794068494499108</v>
      </c>
      <c r="I100" s="241">
        <f>I98/I60</f>
        <v>0.3584696559544488</v>
      </c>
      <c r="J100" s="241">
        <f>J98/J60</f>
        <v>0.38016045038657714</v>
      </c>
    </row>
    <row r="101" spans="1:11" x14ac:dyDescent="0.25">
      <c r="A101" s="213" t="s">
        <v>152</v>
      </c>
      <c r="F101" s="241">
        <f>F99/F60</f>
        <v>0.32181353554786912</v>
      </c>
      <c r="G101" s="241">
        <f>G99/G60</f>
        <v>0.32270179548821248</v>
      </c>
      <c r="H101" s="241">
        <f>H99/H60</f>
        <v>0.33794068494499108</v>
      </c>
      <c r="I101" s="241">
        <f>I99/I60</f>
        <v>0.3584696559544488</v>
      </c>
      <c r="J101" s="241">
        <f>J99/J60</f>
        <v>0.38016045038657714</v>
      </c>
    </row>
    <row r="102" spans="1:11" x14ac:dyDescent="0.25">
      <c r="A102" s="28" t="s">
        <v>153</v>
      </c>
      <c r="F102" s="240">
        <f>F15+F17-F32-F35</f>
        <v>78174400.000000015</v>
      </c>
      <c r="G102" s="240">
        <f>G15+G17-G32-G35</f>
        <v>81173169.984000012</v>
      </c>
      <c r="H102" s="240">
        <f>H15+H17-H32-H35</f>
        <v>85864979.209075198</v>
      </c>
      <c r="I102" s="240">
        <f>I15+I17-I32-I35</f>
        <v>91536876.275709853</v>
      </c>
      <c r="J102" s="240">
        <f>J15+J17-J32-J35</f>
        <v>98150781.734135002</v>
      </c>
    </row>
    <row r="103" spans="1:11" x14ac:dyDescent="0.25">
      <c r="A103" s="28" t="s">
        <v>154</v>
      </c>
      <c r="F103" s="48"/>
      <c r="G103" s="48">
        <f t="shared" ref="G103:J103" si="23">G102-F102</f>
        <v>2998769.9839999974</v>
      </c>
      <c r="H103" s="48">
        <f t="shared" si="23"/>
        <v>4691809.2250751853</v>
      </c>
      <c r="I103" s="48">
        <f t="shared" si="23"/>
        <v>5671897.066634655</v>
      </c>
      <c r="J103" s="48">
        <f t="shared" si="23"/>
        <v>6613905.4584251493</v>
      </c>
    </row>
    <row r="104" spans="1:11" x14ac:dyDescent="0.25">
      <c r="A104" s="28" t="s">
        <v>155</v>
      </c>
      <c r="F104" s="241">
        <f>F102/F60</f>
        <v>0.08</v>
      </c>
      <c r="G104" s="241">
        <f>G102/G60</f>
        <v>0.08</v>
      </c>
      <c r="H104" s="241">
        <f>H102/H60</f>
        <v>0.08</v>
      </c>
      <c r="I104" s="241">
        <f>I102/I60</f>
        <v>0.08</v>
      </c>
      <c r="J104" s="241">
        <f>J102/J60</f>
        <v>0.08</v>
      </c>
    </row>
    <row r="105" spans="1:11" x14ac:dyDescent="0.25">
      <c r="A105" s="28" t="s">
        <v>156</v>
      </c>
      <c r="F105" s="242">
        <f>F60/F23</f>
        <v>40.514946722500937</v>
      </c>
      <c r="G105" s="242">
        <f>G60/G23</f>
        <v>40.514946722500937</v>
      </c>
      <c r="H105" s="242">
        <f>H60/H23</f>
        <v>40.514946722500937</v>
      </c>
      <c r="I105" s="242">
        <f>I60/I23</f>
        <v>40.514946722500937</v>
      </c>
      <c r="J105" s="242">
        <f>J60/J23</f>
        <v>40.514946722500937</v>
      </c>
    </row>
    <row r="106" spans="1:11" x14ac:dyDescent="0.25">
      <c r="A106" s="213" t="s">
        <v>157</v>
      </c>
      <c r="F106" s="243">
        <f t="shared" ref="F106:J106" si="24">F101/F104</f>
        <v>4.0226691943483637</v>
      </c>
      <c r="G106" s="243">
        <f t="shared" si="24"/>
        <v>4.0337724436026559</v>
      </c>
      <c r="H106" s="243">
        <f t="shared" si="24"/>
        <v>4.2242585618123885</v>
      </c>
      <c r="I106" s="243">
        <f t="shared" si="24"/>
        <v>4.4808706994306098</v>
      </c>
      <c r="J106" s="243">
        <f t="shared" si="24"/>
        <v>4.7520056298322144</v>
      </c>
    </row>
    <row r="108" spans="1:11" ht="15.75" thickBot="1" x14ac:dyDescent="0.3"/>
    <row r="109" spans="1:11" ht="14.25" customHeight="1" x14ac:dyDescent="0.25">
      <c r="A109" s="603" t="s">
        <v>158</v>
      </c>
      <c r="B109" s="604"/>
      <c r="C109" s="604"/>
      <c r="D109" s="604"/>
      <c r="E109" s="604"/>
      <c r="F109" s="604"/>
      <c r="G109" s="604"/>
      <c r="H109" s="604"/>
      <c r="I109" s="604"/>
      <c r="J109" s="605"/>
      <c r="K109" s="189"/>
    </row>
    <row r="110" spans="1:11" ht="14.25" customHeight="1" thickBot="1" x14ac:dyDescent="0.3">
      <c r="A110" s="606"/>
      <c r="B110" s="607"/>
      <c r="C110" s="607"/>
      <c r="D110" s="607"/>
      <c r="E110" s="607"/>
      <c r="F110" s="607"/>
      <c r="G110" s="607"/>
      <c r="H110" s="607"/>
      <c r="I110" s="607"/>
      <c r="J110" s="608"/>
      <c r="K110" s="189"/>
    </row>
    <row r="113" spans="2:8" ht="15.75" thickBot="1" x14ac:dyDescent="0.3"/>
    <row r="114" spans="2:8" ht="19.5" thickBot="1" x14ac:dyDescent="0.35">
      <c r="B114" s="244" t="s">
        <v>159</v>
      </c>
      <c r="C114" s="245"/>
      <c r="D114" s="245"/>
      <c r="E114" s="245"/>
      <c r="F114" s="246"/>
    </row>
    <row r="115" spans="2:8" ht="15.75" thickBot="1" x14ac:dyDescent="0.3">
      <c r="B115" s="247" t="s">
        <v>160</v>
      </c>
      <c r="C115" s="248"/>
      <c r="D115" s="248"/>
      <c r="E115" s="248"/>
      <c r="F115" s="249" t="s">
        <v>36</v>
      </c>
    </row>
    <row r="116" spans="2:8" ht="15.75" customHeight="1" thickBot="1" x14ac:dyDescent="0.3">
      <c r="B116" s="638" t="s">
        <v>161</v>
      </c>
      <c r="C116" s="639"/>
      <c r="D116" s="639"/>
      <c r="E116" s="639"/>
      <c r="F116" s="250"/>
    </row>
    <row r="117" spans="2:8" x14ac:dyDescent="0.25">
      <c r="B117" s="218" t="s">
        <v>162</v>
      </c>
      <c r="C117" s="251"/>
      <c r="D117" s="251"/>
      <c r="E117" s="251"/>
      <c r="F117" s="252">
        <f>+F62/F60</f>
        <v>0.82455180826459817</v>
      </c>
      <c r="G117" s="253"/>
    </row>
    <row r="118" spans="2:8" x14ac:dyDescent="0.25">
      <c r="B118" s="254" t="s">
        <v>163</v>
      </c>
      <c r="C118" s="255"/>
      <c r="D118" s="255"/>
      <c r="E118" s="255"/>
      <c r="F118" s="252">
        <f>+F66/F60</f>
        <v>0.2958051849880951</v>
      </c>
      <c r="G118" s="208"/>
    </row>
    <row r="119" spans="2:8" x14ac:dyDescent="0.25">
      <c r="B119" s="254" t="s">
        <v>428</v>
      </c>
      <c r="C119" s="255"/>
      <c r="D119" s="255"/>
      <c r="E119" s="255"/>
      <c r="F119" s="252">
        <f>F74/F60</f>
        <v>0.17630906479188421</v>
      </c>
      <c r="G119" s="208"/>
    </row>
    <row r="120" spans="2:8" ht="15.75" thickBot="1" x14ac:dyDescent="0.3">
      <c r="B120" s="256" t="s">
        <v>429</v>
      </c>
      <c r="C120" s="257"/>
      <c r="D120" s="257"/>
      <c r="E120" s="257"/>
      <c r="F120" s="258">
        <f>('DETALLE COSTOS'!F67/(INGRESOS!F25-INGRESOS!H25))</f>
        <v>10013588.892869161</v>
      </c>
      <c r="G120" s="259">
        <f>+F120/12</f>
        <v>834465.74107243016</v>
      </c>
    </row>
    <row r="122" spans="2:8" ht="15.75" thickBot="1" x14ac:dyDescent="0.3"/>
    <row r="123" spans="2:8" ht="19.5" thickBot="1" x14ac:dyDescent="0.35">
      <c r="B123" s="260" t="s">
        <v>159</v>
      </c>
      <c r="C123" s="261"/>
      <c r="D123" s="261"/>
      <c r="E123" s="261"/>
      <c r="F123" s="262"/>
    </row>
    <row r="124" spans="2:8" ht="15.75" customHeight="1" thickBot="1" x14ac:dyDescent="0.3">
      <c r="B124" s="634" t="s">
        <v>164</v>
      </c>
      <c r="C124" s="635"/>
      <c r="D124" s="635"/>
      <c r="E124" s="635"/>
      <c r="F124" s="263" t="str">
        <f>F115</f>
        <v>AÑO 1</v>
      </c>
    </row>
    <row r="125" spans="2:8" x14ac:dyDescent="0.25">
      <c r="B125" s="264"/>
      <c r="C125" s="255"/>
      <c r="D125" s="255"/>
      <c r="E125" s="251" t="s">
        <v>165</v>
      </c>
      <c r="F125" s="265">
        <f>F19-F37</f>
        <v>367873167.5984903</v>
      </c>
      <c r="G125" s="266" t="s">
        <v>166</v>
      </c>
      <c r="H125" s="267"/>
    </row>
    <row r="126" spans="2:8" x14ac:dyDescent="0.25">
      <c r="B126" s="264"/>
      <c r="C126" s="255"/>
      <c r="D126" s="255"/>
      <c r="E126" s="251" t="s">
        <v>167</v>
      </c>
      <c r="F126" s="268">
        <f>+F19/F37</f>
        <v>15.539733154521743</v>
      </c>
      <c r="G126" s="269" t="s">
        <v>168</v>
      </c>
      <c r="H126" s="270"/>
    </row>
    <row r="127" spans="2:8" ht="15.75" thickBot="1" x14ac:dyDescent="0.3">
      <c r="B127" s="271"/>
      <c r="C127" s="272"/>
      <c r="D127" s="272"/>
      <c r="E127" s="273" t="s">
        <v>169</v>
      </c>
      <c r="F127" s="274">
        <f>(F19-F17)/F37</f>
        <v>15.539733154521743</v>
      </c>
      <c r="G127" s="275" t="s">
        <v>170</v>
      </c>
      <c r="H127" s="276"/>
    </row>
    <row r="129" spans="1:9" ht="15.75" thickBot="1" x14ac:dyDescent="0.3"/>
    <row r="130" spans="1:9" ht="19.5" thickBot="1" x14ac:dyDescent="0.35">
      <c r="B130" s="600" t="s">
        <v>159</v>
      </c>
      <c r="C130" s="601"/>
      <c r="D130" s="601"/>
      <c r="E130" s="601"/>
      <c r="F130" s="602"/>
    </row>
    <row r="131" spans="1:9" ht="15.75" customHeight="1" thickBot="1" x14ac:dyDescent="0.3">
      <c r="B131" s="636" t="s">
        <v>171</v>
      </c>
      <c r="C131" s="637"/>
      <c r="D131" s="637"/>
      <c r="E131" s="637"/>
      <c r="F131" s="277" t="str">
        <f>F124</f>
        <v>AÑO 1</v>
      </c>
    </row>
    <row r="132" spans="1:9" ht="15.75" thickBot="1" x14ac:dyDescent="0.3">
      <c r="B132" s="218"/>
      <c r="C132" s="255"/>
      <c r="D132" s="255"/>
      <c r="E132" s="251" t="s">
        <v>172</v>
      </c>
      <c r="F132" s="278">
        <f>F44/F28</f>
        <v>0.30865043686248184</v>
      </c>
      <c r="G132" s="279" t="s">
        <v>173</v>
      </c>
      <c r="H132" s="253"/>
    </row>
    <row r="133" spans="1:9" ht="15.75" thickBot="1" x14ac:dyDescent="0.3">
      <c r="B133" s="218"/>
      <c r="C133" s="255"/>
      <c r="D133" s="255"/>
      <c r="E133" s="251" t="s">
        <v>174</v>
      </c>
      <c r="F133" s="278">
        <f>F37/F44</f>
        <v>0.16483980208674007</v>
      </c>
      <c r="G133" s="280" t="s">
        <v>175</v>
      </c>
      <c r="H133" s="208"/>
    </row>
    <row r="134" spans="1:9" ht="15.75" thickBot="1" x14ac:dyDescent="0.3">
      <c r="B134" s="223"/>
      <c r="C134" s="281"/>
      <c r="D134" s="281"/>
      <c r="E134" s="282" t="s">
        <v>176</v>
      </c>
      <c r="F134" s="283">
        <f>F42/F44</f>
        <v>0.83516019791326002</v>
      </c>
      <c r="G134" s="284" t="s">
        <v>177</v>
      </c>
      <c r="H134" s="285"/>
    </row>
    <row r="135" spans="1:9" ht="15.75" thickBot="1" x14ac:dyDescent="0.3"/>
    <row r="136" spans="1:9" ht="19.5" thickBot="1" x14ac:dyDescent="0.35">
      <c r="B136" s="286" t="s">
        <v>178</v>
      </c>
      <c r="C136" s="287"/>
      <c r="D136" s="287"/>
      <c r="E136" s="287"/>
      <c r="F136" s="288"/>
      <c r="G136" s="289"/>
    </row>
    <row r="137" spans="1:9" ht="15.75" customHeight="1" thickBot="1" x14ac:dyDescent="0.3">
      <c r="B137" s="636" t="s">
        <v>179</v>
      </c>
      <c r="C137" s="637"/>
      <c r="D137" s="637"/>
      <c r="E137" s="637"/>
      <c r="F137" s="290" t="str">
        <f>F131</f>
        <v>AÑO 1</v>
      </c>
    </row>
    <row r="138" spans="1:9" x14ac:dyDescent="0.25">
      <c r="B138" s="291"/>
      <c r="C138" s="292"/>
      <c r="D138" s="292"/>
      <c r="E138" s="293" t="s">
        <v>180</v>
      </c>
      <c r="F138" s="294">
        <f>F60/F51</f>
        <v>2.84226247397218</v>
      </c>
      <c r="G138" s="291" t="s">
        <v>181</v>
      </c>
      <c r="H138" s="295"/>
      <c r="I138" s="253"/>
    </row>
    <row r="139" spans="1:9" x14ac:dyDescent="0.25">
      <c r="B139" s="218"/>
      <c r="C139" s="255"/>
      <c r="D139" s="255"/>
      <c r="E139" s="296" t="s">
        <v>182</v>
      </c>
      <c r="F139" s="297">
        <f>F60/F28</f>
        <v>1.9649969213345686</v>
      </c>
      <c r="G139" s="218" t="s">
        <v>183</v>
      </c>
      <c r="H139" s="45"/>
      <c r="I139" s="208"/>
    </row>
    <row r="140" spans="1:9" x14ac:dyDescent="0.25">
      <c r="B140" s="218"/>
      <c r="C140" s="255"/>
      <c r="D140" s="255"/>
      <c r="E140" s="296" t="s">
        <v>184</v>
      </c>
      <c r="F140" s="298">
        <f>(F15/F60)*365</f>
        <v>29.2</v>
      </c>
      <c r="G140" s="218" t="s">
        <v>185</v>
      </c>
      <c r="H140" s="45"/>
      <c r="I140" s="208"/>
    </row>
    <row r="141" spans="1:9" x14ac:dyDescent="0.25">
      <c r="B141" s="218"/>
      <c r="C141" s="255"/>
      <c r="D141" s="255"/>
      <c r="E141" s="296" t="s">
        <v>186</v>
      </c>
      <c r="F141" s="298">
        <v>0</v>
      </c>
      <c r="G141" s="218" t="s">
        <v>187</v>
      </c>
      <c r="H141" s="45" t="s">
        <v>188</v>
      </c>
      <c r="I141" s="208"/>
    </row>
    <row r="142" spans="1:9" x14ac:dyDescent="0.25">
      <c r="B142" s="218"/>
      <c r="C142" s="255"/>
      <c r="D142" s="255"/>
      <c r="E142" s="296" t="s">
        <v>189</v>
      </c>
      <c r="F142" s="298">
        <v>0</v>
      </c>
      <c r="G142" s="218" t="s">
        <v>190</v>
      </c>
      <c r="H142" s="45"/>
      <c r="I142" s="208"/>
    </row>
    <row r="143" spans="1:9" ht="15.75" thickBot="1" x14ac:dyDescent="0.3">
      <c r="B143" s="223"/>
      <c r="C143" s="281"/>
      <c r="D143" s="281"/>
      <c r="E143" s="299" t="s">
        <v>191</v>
      </c>
      <c r="F143" s="300">
        <f>F44/F61</f>
        <v>0.89527431552895698</v>
      </c>
      <c r="G143" s="223" t="s">
        <v>192</v>
      </c>
      <c r="H143" s="224"/>
      <c r="I143" s="285"/>
    </row>
    <row r="144" spans="1:9" ht="15.75" thickBot="1" x14ac:dyDescent="0.3">
      <c r="A144" s="623"/>
      <c r="B144" s="624"/>
      <c r="C144" s="624"/>
      <c r="D144" s="624"/>
      <c r="E144" s="624"/>
      <c r="F144" s="193"/>
      <c r="G144" s="193"/>
      <c r="H144" s="193"/>
      <c r="I144" s="194"/>
    </row>
    <row r="145" spans="1:11" x14ac:dyDescent="0.25">
      <c r="G145" s="45"/>
    </row>
    <row r="148" spans="1:11" ht="15.75" thickBot="1" x14ac:dyDescent="0.3"/>
    <row r="149" spans="1:11" ht="14.25" customHeight="1" x14ac:dyDescent="0.25">
      <c r="A149" s="603" t="s">
        <v>140</v>
      </c>
      <c r="B149" s="604"/>
      <c r="C149" s="604"/>
      <c r="D149" s="604"/>
      <c r="E149" s="604"/>
      <c r="F149" s="604"/>
      <c r="G149" s="604"/>
      <c r="H149" s="604"/>
      <c r="I149" s="604"/>
      <c r="J149" s="605"/>
      <c r="K149" s="189"/>
    </row>
    <row r="150" spans="1:11" ht="15" customHeight="1" thickBot="1" x14ac:dyDescent="0.3">
      <c r="A150" s="606"/>
      <c r="B150" s="607"/>
      <c r="C150" s="607"/>
      <c r="D150" s="607"/>
      <c r="E150" s="607"/>
      <c r="F150" s="607"/>
      <c r="G150" s="607"/>
      <c r="H150" s="607"/>
      <c r="I150" s="607"/>
      <c r="J150" s="608"/>
      <c r="K150" s="189"/>
    </row>
    <row r="151" spans="1:11" ht="18.75" x14ac:dyDescent="0.3">
      <c r="A151" s="593" t="str">
        <f>+A86</f>
        <v>DM CARGO S.A.S</v>
      </c>
      <c r="B151" s="594"/>
      <c r="C151" s="594"/>
      <c r="D151" s="594"/>
      <c r="E151" s="594"/>
      <c r="F151" s="594"/>
      <c r="G151" s="594"/>
      <c r="H151" s="594"/>
      <c r="I151" s="594"/>
      <c r="J151" s="595"/>
      <c r="K151" s="233"/>
    </row>
    <row r="152" spans="1:11" ht="15.75" thickBot="1" x14ac:dyDescent="0.3">
      <c r="A152" s="596" t="s">
        <v>193</v>
      </c>
      <c r="B152" s="597"/>
      <c r="C152" s="597"/>
      <c r="D152" s="597"/>
      <c r="E152" s="597"/>
      <c r="F152" s="598"/>
      <c r="G152" s="598"/>
      <c r="H152" s="598"/>
      <c r="I152" s="598"/>
      <c r="J152" s="599"/>
      <c r="K152" s="234"/>
    </row>
    <row r="153" spans="1:11" ht="15.75" thickBot="1" x14ac:dyDescent="0.3">
      <c r="A153" s="291"/>
      <c r="B153" s="295"/>
      <c r="C153" s="295"/>
      <c r="D153" s="295"/>
      <c r="E153" s="253"/>
      <c r="F153" s="301">
        <v>2021</v>
      </c>
      <c r="G153" s="302">
        <v>2022</v>
      </c>
      <c r="H153" s="302">
        <v>2023</v>
      </c>
      <c r="I153" s="302">
        <v>2024</v>
      </c>
      <c r="J153" s="303">
        <v>2025</v>
      </c>
    </row>
    <row r="154" spans="1:11" x14ac:dyDescent="0.25">
      <c r="A154" s="304" t="s">
        <v>194</v>
      </c>
      <c r="B154" s="45"/>
      <c r="C154" s="45"/>
      <c r="D154" s="45"/>
      <c r="E154" s="208"/>
      <c r="F154" s="305">
        <f>+F66</f>
        <v>289054910.66666681</v>
      </c>
      <c r="G154" s="306">
        <f>+G66</f>
        <v>302019256.24133348</v>
      </c>
      <c r="H154" s="306">
        <f>+H66</f>
        <v>337301033.58377862</v>
      </c>
      <c r="I154" s="306">
        <f>+I66</f>
        <v>384750066.82123321</v>
      </c>
      <c r="J154" s="307">
        <f>+J66</f>
        <v>440998227.37304235</v>
      </c>
    </row>
    <row r="155" spans="1:11" x14ac:dyDescent="0.25">
      <c r="A155" s="218" t="s">
        <v>195</v>
      </c>
      <c r="B155" s="45"/>
      <c r="C155" s="45"/>
      <c r="D155" s="45"/>
      <c r="E155" s="208"/>
      <c r="F155" s="308">
        <f>+F73</f>
        <v>92769218.733333379</v>
      </c>
      <c r="G155" s="309">
        <f>+G73</f>
        <v>98528178.490056828</v>
      </c>
      <c r="H155" s="309">
        <f>+H73</f>
        <v>112293669.57439716</v>
      </c>
      <c r="I155" s="309">
        <f>+I73</f>
        <v>130544399.26430836</v>
      </c>
      <c r="J155" s="219">
        <f>+J73</f>
        <v>152137794.40333197</v>
      </c>
    </row>
    <row r="156" spans="1:11" x14ac:dyDescent="0.25">
      <c r="A156" s="304" t="s">
        <v>144</v>
      </c>
      <c r="B156" s="45"/>
      <c r="C156" s="45"/>
      <c r="D156" s="45"/>
      <c r="E156" s="208"/>
      <c r="F156" s="310">
        <f t="shared" ref="F156:J156" si="25">+F154-F155</f>
        <v>196285691.93333343</v>
      </c>
      <c r="G156" s="311">
        <f t="shared" si="25"/>
        <v>203491077.75127667</v>
      </c>
      <c r="H156" s="311">
        <f t="shared" si="25"/>
        <v>225007364.00938147</v>
      </c>
      <c r="I156" s="311">
        <f t="shared" si="25"/>
        <v>254205667.55692485</v>
      </c>
      <c r="J156" s="312">
        <f t="shared" si="25"/>
        <v>288860432.96971035</v>
      </c>
    </row>
    <row r="157" spans="1:11" x14ac:dyDescent="0.25">
      <c r="A157" s="218" t="s">
        <v>196</v>
      </c>
      <c r="B157" s="45"/>
      <c r="C157" s="45"/>
      <c r="D157" s="45"/>
      <c r="E157" s="208"/>
      <c r="F157" s="313">
        <f t="shared" ref="F157:J158" si="26">+F79</f>
        <v>10414840</v>
      </c>
      <c r="G157" s="314">
        <f t="shared" si="26"/>
        <v>10414840</v>
      </c>
      <c r="H157" s="314">
        <f t="shared" si="26"/>
        <v>10414840</v>
      </c>
      <c r="I157" s="314">
        <f t="shared" si="26"/>
        <v>10414840</v>
      </c>
      <c r="J157" s="315">
        <f t="shared" si="26"/>
        <v>10414840</v>
      </c>
    </row>
    <row r="158" spans="1:11" x14ac:dyDescent="0.25">
      <c r="A158" s="218" t="s">
        <v>197</v>
      </c>
      <c r="B158" s="45"/>
      <c r="C158" s="45"/>
      <c r="D158" s="45"/>
      <c r="E158" s="208"/>
      <c r="F158" s="313">
        <f t="shared" si="26"/>
        <v>15000000</v>
      </c>
      <c r="G158" s="314">
        <f t="shared" si="26"/>
        <v>15000000</v>
      </c>
      <c r="H158" s="314">
        <f t="shared" si="26"/>
        <v>15000000</v>
      </c>
      <c r="I158" s="314">
        <f t="shared" si="26"/>
        <v>15000000</v>
      </c>
      <c r="J158" s="315">
        <f t="shared" si="26"/>
        <v>15000000</v>
      </c>
    </row>
    <row r="159" spans="1:11" x14ac:dyDescent="0.25">
      <c r="A159" s="304" t="s">
        <v>198</v>
      </c>
      <c r="B159" s="45"/>
      <c r="C159" s="45"/>
      <c r="D159" s="45"/>
      <c r="E159" s="208"/>
      <c r="F159" s="316">
        <f t="shared" ref="F159:J159" si="27">+F156+F157+F158</f>
        <v>221700531.93333343</v>
      </c>
      <c r="G159" s="317">
        <f t="shared" si="27"/>
        <v>228905917.75127667</v>
      </c>
      <c r="H159" s="317">
        <f t="shared" si="27"/>
        <v>250422204.00938147</v>
      </c>
      <c r="I159" s="317">
        <f t="shared" si="27"/>
        <v>279620507.55692482</v>
      </c>
      <c r="J159" s="318">
        <f t="shared" si="27"/>
        <v>314275272.96971035</v>
      </c>
    </row>
    <row r="160" spans="1:11" x14ac:dyDescent="0.25">
      <c r="A160" s="218" t="s">
        <v>199</v>
      </c>
      <c r="B160" s="45"/>
      <c r="C160" s="45"/>
      <c r="D160" s="45"/>
      <c r="E160" s="208"/>
      <c r="F160" s="313">
        <f>+F102</f>
        <v>78174400.000000015</v>
      </c>
      <c r="G160" s="314">
        <f>+G102</f>
        <v>81173169.984000012</v>
      </c>
      <c r="H160" s="314">
        <f>+H102</f>
        <v>85864979.209075198</v>
      </c>
      <c r="I160" s="314">
        <f>+I102</f>
        <v>91536876.275709853</v>
      </c>
      <c r="J160" s="315">
        <f>+J102</f>
        <v>98150781.734135002</v>
      </c>
    </row>
    <row r="161" spans="1:10" ht="15.75" thickBot="1" x14ac:dyDescent="0.3">
      <c r="A161" s="218" t="s">
        <v>200</v>
      </c>
      <c r="B161" s="45"/>
      <c r="C161" s="45"/>
      <c r="D161" s="45"/>
      <c r="E161" s="208"/>
      <c r="F161" s="319"/>
      <c r="G161" s="320">
        <f>+G52-F52</f>
        <v>0</v>
      </c>
      <c r="H161" s="320">
        <f>+H52-G52</f>
        <v>0</v>
      </c>
      <c r="I161" s="320">
        <f>+I52-H52</f>
        <v>0</v>
      </c>
      <c r="J161" s="321">
        <f>+J52-I52</f>
        <v>0</v>
      </c>
    </row>
    <row r="162" spans="1:10" ht="15.75" thickBot="1" x14ac:dyDescent="0.3">
      <c r="A162" s="322" t="s">
        <v>201</v>
      </c>
      <c r="B162" s="224"/>
      <c r="C162" s="224"/>
      <c r="D162" s="224"/>
      <c r="E162" s="285"/>
      <c r="F162" s="323">
        <f t="shared" ref="F162:J162" si="28">+F159-F160-F161</f>
        <v>143526131.9333334</v>
      </c>
      <c r="G162" s="323">
        <f t="shared" si="28"/>
        <v>147732747.76727664</v>
      </c>
      <c r="H162" s="323">
        <f t="shared" si="28"/>
        <v>164557224.80030626</v>
      </c>
      <c r="I162" s="323">
        <f t="shared" si="28"/>
        <v>188083631.28121495</v>
      </c>
      <c r="J162" s="324">
        <f t="shared" si="28"/>
        <v>216124491.23557535</v>
      </c>
    </row>
  </sheetData>
  <mergeCells count="82">
    <mergeCell ref="B124:E124"/>
    <mergeCell ref="B131:E131"/>
    <mergeCell ref="B137:E137"/>
    <mergeCell ref="B116:E116"/>
    <mergeCell ref="A1:J2"/>
    <mergeCell ref="A3:J3"/>
    <mergeCell ref="A4:J4"/>
    <mergeCell ref="A65:E65"/>
    <mergeCell ref="A79:E79"/>
    <mergeCell ref="A80:E80"/>
    <mergeCell ref="A86:J86"/>
    <mergeCell ref="A87:J87"/>
    <mergeCell ref="A21:E21"/>
    <mergeCell ref="A12:E12"/>
    <mergeCell ref="A13:E13"/>
    <mergeCell ref="A14:E14"/>
    <mergeCell ref="A15:E15"/>
    <mergeCell ref="A16:E16"/>
    <mergeCell ref="A17:E17"/>
    <mergeCell ref="A18:E18"/>
    <mergeCell ref="A19:E19"/>
    <mergeCell ref="A20:E20"/>
    <mergeCell ref="M38:V38"/>
    <mergeCell ref="A33:E33"/>
    <mergeCell ref="A34:E34"/>
    <mergeCell ref="A22:E22"/>
    <mergeCell ref="A23:E23"/>
    <mergeCell ref="A24:E24"/>
    <mergeCell ref="A25:E25"/>
    <mergeCell ref="A26:E26"/>
    <mergeCell ref="A28:E28"/>
    <mergeCell ref="A35:E35"/>
    <mergeCell ref="A36:E36"/>
    <mergeCell ref="A37:E37"/>
    <mergeCell ref="A38:E38"/>
    <mergeCell ref="A30:E30"/>
    <mergeCell ref="A31:E31"/>
    <mergeCell ref="A32:E32"/>
    <mergeCell ref="A46:E46"/>
    <mergeCell ref="A47:E47"/>
    <mergeCell ref="A144:E144"/>
    <mergeCell ref="F13:I13"/>
    <mergeCell ref="A48:E48"/>
    <mergeCell ref="A74:E74"/>
    <mergeCell ref="A63:E63"/>
    <mergeCell ref="A64:E64"/>
    <mergeCell ref="A66:E66"/>
    <mergeCell ref="A67:E67"/>
    <mergeCell ref="A68:E68"/>
    <mergeCell ref="A69:E69"/>
    <mergeCell ref="A58:E58"/>
    <mergeCell ref="A59:E59"/>
    <mergeCell ref="A53:E53"/>
    <mergeCell ref="A55:E55"/>
    <mergeCell ref="A39:E39"/>
    <mergeCell ref="A40:E40"/>
    <mergeCell ref="A42:E42"/>
    <mergeCell ref="A44:E44"/>
    <mergeCell ref="A49:E49"/>
    <mergeCell ref="A50:E50"/>
    <mergeCell ref="A51:E51"/>
    <mergeCell ref="A78:E78"/>
    <mergeCell ref="A70:E70"/>
    <mergeCell ref="A71:E71"/>
    <mergeCell ref="A72:E72"/>
    <mergeCell ref="A73:E73"/>
    <mergeCell ref="A5:J5"/>
    <mergeCell ref="A6:J6"/>
    <mergeCell ref="A151:J151"/>
    <mergeCell ref="A152:J152"/>
    <mergeCell ref="B130:F130"/>
    <mergeCell ref="A84:J85"/>
    <mergeCell ref="A109:J110"/>
    <mergeCell ref="A149:J150"/>
    <mergeCell ref="A8:J9"/>
    <mergeCell ref="A10:J10"/>
    <mergeCell ref="A11:J11"/>
    <mergeCell ref="F59:J59"/>
    <mergeCell ref="A60:E60"/>
    <mergeCell ref="A61:E61"/>
    <mergeCell ref="A62:E62"/>
    <mergeCell ref="A41:E41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BALANCE INICIAL</vt:lpstr>
      <vt:lpstr>PROYECCIONES</vt:lpstr>
      <vt:lpstr>INGRESOS</vt:lpstr>
      <vt:lpstr>DETALLE COSTOS</vt:lpstr>
      <vt:lpstr>CAPITAL E INVERSION</vt:lpstr>
      <vt:lpstr>Estado Financiero</vt:lpstr>
      <vt:lpstr>INGRESOS!Descargas</vt:lpstr>
      <vt:lpstr>INGRESOS!Descargas_Año</vt:lpstr>
      <vt:lpstr>Histórico</vt:lpstr>
      <vt:lpstr>Macroeconomico</vt:lpstr>
      <vt:lpstr>Pesimista</vt:lpstr>
      <vt:lpstr>Pssimista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Jair Mauricio Ortiz</dc:creator>
  <cp:lastModifiedBy>Jair Mauricio Ortiz</cp:lastModifiedBy>
  <dcterms:created xsi:type="dcterms:W3CDTF">2022-02-05T20:47:26Z</dcterms:created>
  <dcterms:modified xsi:type="dcterms:W3CDTF">2022-03-07T21:06:18Z</dcterms:modified>
</cp:coreProperties>
</file>